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bletj/Desktop/tmp-wfh/Barber-George/"/>
    </mc:Choice>
  </mc:AlternateContent>
  <xr:revisionPtr revIDLastSave="0" documentId="13_ncr:1_{0467B72D-7EDD-0942-A174-105B0E258B95}" xr6:coauthVersionLast="47" xr6:coauthVersionMax="47" xr10:uidLastSave="{00000000-0000-0000-0000-000000000000}"/>
  <bookViews>
    <workbookView xWindow="2320" yWindow="1020" windowWidth="24020" windowHeight="24520" xr2:uid="{A383E9C7-FFC3-4DC8-A658-358E545DDBBB}"/>
  </bookViews>
  <sheets>
    <sheet name="Sheet1" sheetId="1" r:id="rId1"/>
  </sheets>
  <definedNames>
    <definedName name="_xlnm.Print_Area" localSheetId="0">Sheet1!$A$1:$O$71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9" i="1" l="1"/>
  <c r="K67" i="1"/>
  <c r="K61" i="1"/>
  <c r="N71" i="1" l="1"/>
  <c r="N70" i="1"/>
  <c r="N69" i="1"/>
  <c r="N68" i="1"/>
  <c r="N67" i="1"/>
  <c r="N66" i="1"/>
  <c r="N65" i="1"/>
  <c r="N64" i="1"/>
  <c r="N63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N40" i="1"/>
  <c r="N39" i="1"/>
  <c r="N22" i="1"/>
  <c r="N21" i="1"/>
  <c r="N20" i="1"/>
  <c r="N18" i="1"/>
  <c r="N17" i="1"/>
  <c r="N16" i="1"/>
  <c r="N11" i="1"/>
  <c r="N10" i="1"/>
  <c r="H44" i="1"/>
  <c r="H40" i="1"/>
  <c r="K40" i="1"/>
  <c r="K36" i="1"/>
  <c r="K32" i="1"/>
  <c r="K28" i="1"/>
  <c r="H30" i="1"/>
  <c r="H23" i="1"/>
  <c r="H22" i="1"/>
  <c r="H20" i="1"/>
  <c r="H19" i="1"/>
  <c r="H18" i="1"/>
  <c r="H17" i="1"/>
  <c r="H16" i="1"/>
  <c r="H12" i="1"/>
  <c r="H11" i="1"/>
  <c r="K22" i="1"/>
  <c r="K21" i="1"/>
  <c r="K20" i="1"/>
  <c r="K19" i="1"/>
  <c r="K18" i="1"/>
  <c r="K17" i="1"/>
  <c r="K16" i="1"/>
  <c r="L15" i="1"/>
  <c r="L14" i="1"/>
  <c r="L13" i="1"/>
  <c r="K15" i="1"/>
  <c r="K14" i="1"/>
  <c r="K13" i="1"/>
  <c r="N62" i="1"/>
  <c r="N38" i="1"/>
  <c r="O39" i="1"/>
  <c r="O38" i="1"/>
  <c r="O37" i="1"/>
  <c r="O36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N61" i="1"/>
  <c r="N60" i="1"/>
  <c r="N59" i="1"/>
  <c r="N37" i="1"/>
  <c r="N36" i="1"/>
  <c r="O35" i="1"/>
  <c r="O34" i="1"/>
  <c r="O33" i="1"/>
  <c r="O32" i="1"/>
  <c r="N35" i="1"/>
  <c r="N34" i="1"/>
  <c r="N33" i="1"/>
  <c r="N32" i="1"/>
  <c r="O31" i="1"/>
  <c r="O30" i="1"/>
  <c r="O29" i="1"/>
  <c r="O28" i="1"/>
  <c r="N31" i="1"/>
  <c r="N30" i="1"/>
  <c r="N29" i="1"/>
  <c r="N28" i="1"/>
  <c r="N43" i="1"/>
  <c r="O43" i="1"/>
  <c r="O42" i="1"/>
  <c r="O41" i="1"/>
  <c r="O40" i="1"/>
  <c r="N42" i="1"/>
  <c r="N41" i="1"/>
  <c r="O27" i="1"/>
  <c r="O26" i="1"/>
  <c r="O25" i="1"/>
  <c r="O24" i="1"/>
  <c r="O23" i="1"/>
  <c r="N27" i="1"/>
  <c r="N26" i="1"/>
  <c r="N25" i="1"/>
  <c r="N24" i="1"/>
  <c r="N23" i="1"/>
  <c r="O22" i="1"/>
  <c r="O21" i="1"/>
  <c r="O20" i="1"/>
  <c r="O19" i="1"/>
  <c r="O18" i="1"/>
  <c r="O17" i="1"/>
  <c r="O16" i="1"/>
  <c r="N19" i="1"/>
  <c r="O15" i="1"/>
  <c r="O14" i="1"/>
  <c r="O13" i="1"/>
  <c r="O12" i="1"/>
  <c r="O11" i="1"/>
  <c r="O10" i="1"/>
  <c r="N15" i="1"/>
  <c r="N14" i="1"/>
  <c r="N12" i="1"/>
  <c r="N13" i="1"/>
  <c r="K71" i="1"/>
  <c r="L71" i="1"/>
  <c r="K70" i="1"/>
  <c r="L70" i="1"/>
  <c r="L69" i="1"/>
  <c r="K68" i="1"/>
  <c r="L68" i="1"/>
  <c r="L67" i="1"/>
  <c r="K66" i="1"/>
  <c r="L66" i="1"/>
  <c r="K65" i="1"/>
  <c r="L65" i="1"/>
  <c r="K64" i="1"/>
  <c r="L64" i="1"/>
  <c r="K63" i="1"/>
  <c r="L63" i="1"/>
  <c r="K62" i="1"/>
  <c r="L62" i="1"/>
  <c r="L61" i="1"/>
  <c r="K60" i="1"/>
  <c r="L60" i="1"/>
  <c r="K59" i="1"/>
  <c r="L59" i="1"/>
  <c r="K58" i="1"/>
  <c r="L58" i="1"/>
  <c r="K57" i="1"/>
  <c r="L57" i="1"/>
  <c r="K56" i="1"/>
  <c r="L56" i="1"/>
  <c r="K55" i="1"/>
  <c r="L55" i="1"/>
  <c r="K54" i="1"/>
  <c r="L54" i="1"/>
  <c r="K53" i="1"/>
  <c r="L53" i="1"/>
  <c r="K52" i="1"/>
  <c r="L52" i="1"/>
  <c r="K51" i="1"/>
  <c r="L51" i="1"/>
  <c r="K50" i="1"/>
  <c r="L50" i="1"/>
  <c r="K49" i="1"/>
  <c r="L49" i="1"/>
  <c r="K48" i="1"/>
  <c r="L48" i="1"/>
  <c r="K47" i="1"/>
  <c r="L47" i="1"/>
  <c r="K45" i="1"/>
  <c r="K46" i="1"/>
  <c r="L46" i="1"/>
  <c r="L45" i="1"/>
  <c r="K44" i="1"/>
  <c r="L44" i="1"/>
  <c r="K43" i="1"/>
  <c r="L43" i="1"/>
  <c r="K42" i="1"/>
  <c r="L42" i="1"/>
  <c r="K41" i="1"/>
  <c r="L41" i="1"/>
  <c r="L40" i="1"/>
  <c r="K39" i="1"/>
  <c r="L39" i="1"/>
  <c r="K38" i="1"/>
  <c r="L38" i="1"/>
  <c r="K37" i="1"/>
  <c r="L37" i="1"/>
  <c r="L36" i="1"/>
  <c r="K35" i="1"/>
  <c r="L35" i="1"/>
  <c r="K34" i="1"/>
  <c r="L34" i="1"/>
  <c r="K33" i="1"/>
  <c r="L33" i="1"/>
  <c r="L32" i="1"/>
  <c r="L30" i="1"/>
  <c r="L29" i="1"/>
  <c r="L26" i="1"/>
  <c r="L25" i="1"/>
  <c r="L24" i="1"/>
  <c r="L21" i="1"/>
  <c r="L20" i="1"/>
  <c r="L19" i="1"/>
  <c r="L18" i="1"/>
  <c r="L17" i="1"/>
  <c r="L31" i="1"/>
  <c r="L27" i="1"/>
  <c r="L22" i="1"/>
  <c r="L28" i="1"/>
  <c r="L23" i="1"/>
  <c r="L16" i="1"/>
  <c r="K31" i="1"/>
  <c r="K30" i="1"/>
  <c r="K29" i="1"/>
  <c r="K27" i="1"/>
  <c r="K26" i="1"/>
  <c r="K25" i="1"/>
  <c r="K24" i="1"/>
  <c r="K23" i="1"/>
  <c r="L12" i="1"/>
  <c r="L11" i="1"/>
  <c r="L10" i="1"/>
  <c r="K12" i="1"/>
  <c r="K11" i="1"/>
  <c r="K10" i="1"/>
  <c r="H58" i="1"/>
  <c r="H57" i="1"/>
  <c r="H56" i="1"/>
  <c r="H55" i="1"/>
  <c r="H54" i="1"/>
  <c r="H53" i="1"/>
  <c r="H52" i="1"/>
  <c r="H51" i="1"/>
  <c r="H50" i="1"/>
  <c r="H49" i="1"/>
  <c r="H48" i="1"/>
  <c r="H47" i="1"/>
  <c r="I31" i="1"/>
  <c r="I70" i="1"/>
  <c r="I69" i="1"/>
  <c r="I68" i="1"/>
  <c r="I65" i="1"/>
  <c r="I64" i="1"/>
  <c r="I61" i="1"/>
  <c r="I60" i="1"/>
  <c r="I57" i="1"/>
  <c r="I54" i="1"/>
  <c r="I51" i="1"/>
  <c r="I48" i="1"/>
  <c r="I45" i="1"/>
  <c r="I42" i="1"/>
  <c r="I41" i="1"/>
  <c r="I38" i="1"/>
  <c r="I37" i="1"/>
  <c r="I34" i="1"/>
  <c r="I33" i="1"/>
  <c r="I30" i="1"/>
  <c r="I29" i="1"/>
  <c r="I26" i="1"/>
  <c r="I25" i="1"/>
  <c r="I24" i="1"/>
  <c r="I21" i="1"/>
  <c r="I20" i="1"/>
  <c r="I19" i="1"/>
  <c r="I18" i="1"/>
  <c r="I17" i="1"/>
  <c r="I71" i="1"/>
  <c r="I66" i="1"/>
  <c r="I62" i="1"/>
  <c r="I58" i="1"/>
  <c r="I55" i="1"/>
  <c r="I52" i="1"/>
  <c r="I49" i="1"/>
  <c r="I46" i="1"/>
  <c r="I43" i="1"/>
  <c r="I39" i="1"/>
  <c r="I35" i="1"/>
  <c r="I27" i="1"/>
  <c r="I22" i="1"/>
  <c r="I67" i="1"/>
  <c r="I63" i="1"/>
  <c r="I59" i="1"/>
  <c r="I56" i="1"/>
  <c r="I53" i="1"/>
  <c r="I50" i="1"/>
  <c r="I47" i="1"/>
  <c r="I44" i="1"/>
  <c r="I40" i="1"/>
  <c r="I36" i="1"/>
  <c r="I32" i="1"/>
  <c r="I28" i="1"/>
  <c r="I23" i="1"/>
  <c r="I16" i="1"/>
  <c r="I15" i="1"/>
  <c r="I14" i="1"/>
  <c r="I13" i="1"/>
  <c r="I12" i="1"/>
  <c r="I11" i="1"/>
  <c r="I10" i="1"/>
  <c r="H46" i="1"/>
  <c r="H45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43" i="1"/>
  <c r="H42" i="1"/>
  <c r="H41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1" i="1"/>
  <c r="H15" i="1"/>
  <c r="H14" i="1"/>
  <c r="H13" i="1"/>
  <c r="H10" i="1"/>
</calcChain>
</file>

<file path=xl/sharedStrings.xml><?xml version="1.0" encoding="utf-8"?>
<sst xmlns="http://schemas.openxmlformats.org/spreadsheetml/2006/main" count="36" uniqueCount="36">
  <si>
    <t>Target</t>
  </si>
  <si>
    <t>C - I</t>
  </si>
  <si>
    <t>Al - I</t>
  </si>
  <si>
    <t>Cu - A</t>
  </si>
  <si>
    <t>Cu - I</t>
  </si>
  <si>
    <t>Cu - II</t>
  </si>
  <si>
    <t>Cu - III</t>
  </si>
  <si>
    <t>Cu - IV</t>
  </si>
  <si>
    <t>Ta - I</t>
  </si>
  <si>
    <t>Pb - I</t>
  </si>
  <si>
    <t>Pb - II</t>
  </si>
  <si>
    <t>Pb - III</t>
  </si>
  <si>
    <t>Pb - IV</t>
  </si>
  <si>
    <t>Pb - VI</t>
  </si>
  <si>
    <t>U - I</t>
  </si>
  <si>
    <t>U - II</t>
  </si>
  <si>
    <t>U - III</t>
  </si>
  <si>
    <t>Energy (MeV)</t>
  </si>
  <si>
    <t>ENDF7U</t>
  </si>
  <si>
    <t>Expt. Unc</t>
  </si>
  <si>
    <t>Photonuclear Benchmarks of C, Al, Cu, Ta, Pb and U from the ENDF/B-VII Cross-Section Library ENDF7U Using MCNPX</t>
  </si>
  <si>
    <t>Matthias Frankl and Rafael Macian-Juan</t>
  </si>
  <si>
    <t>Nuclear Science and Engineering, 183:1, 135-142, DOI:10.13182/NSE15-47</t>
  </si>
  <si>
    <t>Experimental and Calculated Neutron Yields</t>
  </si>
  <si>
    <t>E80</t>
  </si>
  <si>
    <t>JENDL-5</t>
  </si>
  <si>
    <t>TENDL-2021</t>
  </si>
  <si>
    <t>ENDF7U results from …</t>
  </si>
  <si>
    <t>E80 Unc</t>
  </si>
  <si>
    <t>JENDL-5 Unc</t>
  </si>
  <si>
    <t>TENDL-2021 Unc</t>
  </si>
  <si>
    <t>Expt.</t>
  </si>
  <si>
    <t>Diff, %
(E80-Expt)</t>
  </si>
  <si>
    <t>Diff, %
(J5-Expt)</t>
  </si>
  <si>
    <t>Diff, %
(T21-Expt)</t>
  </si>
  <si>
    <r>
      <t>Neutron Yield per 10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Electrons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</si>
</sst>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2" fontId="0" fillId="0" borderId="23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0" fillId="0" borderId="24" xfId="0" quotePrefix="1" applyNumberFormat="1" applyBorder="1" applyAlignment="1">
      <alignment horizontal="center" vertical="center"/>
    </xf>
    <xf numFmtId="2" fontId="0" fillId="0" borderId="25" xfId="0" quotePrefix="1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1" xfId="0" quotePrefix="1" applyNumberFormat="1" applyFont="1" applyBorder="1" applyAlignment="1">
      <alignment horizontal="center" vertical="center"/>
    </xf>
    <xf numFmtId="2" fontId="2" fillId="0" borderId="22" xfId="0" quotePrefix="1" applyNumberFormat="1" applyFont="1" applyBorder="1" applyAlignment="1">
      <alignment horizontal="center" vertical="center"/>
    </xf>
    <xf numFmtId="164" fontId="2" fillId="0" borderId="22" xfId="0" quotePrefix="1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2" borderId="27" xfId="0" applyNumberFormat="1" applyFill="1" applyBorder="1" applyAlignment="1">
      <alignment horizontal="center" vertical="center"/>
    </xf>
    <xf numFmtId="165" fontId="0" fillId="2" borderId="28" xfId="0" applyNumberFormat="1" applyFill="1" applyBorder="1" applyAlignment="1">
      <alignment horizontal="center" vertical="center"/>
    </xf>
    <xf numFmtId="165" fontId="0" fillId="2" borderId="29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Alignment="1">
      <alignment horizontal="center" vertical="center"/>
    </xf>
    <xf numFmtId="165" fontId="0" fillId="2" borderId="3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AC7FB-2235-4FA6-887F-13D4F1A5DA74}">
  <sheetPr>
    <pageSetUpPr fitToPage="1"/>
  </sheetPr>
  <dimension ref="B1:O71"/>
  <sheetViews>
    <sheetView tabSelected="1" workbookViewId="0">
      <selection activeCell="Q19" sqref="Q19"/>
    </sheetView>
  </sheetViews>
  <sheetFormatPr baseColWidth="10" defaultColWidth="9.1640625" defaultRowHeight="15" x14ac:dyDescent="0.2"/>
  <cols>
    <col min="1" max="1" width="3.6640625" style="17" customWidth="1"/>
    <col min="2" max="2" width="8.6640625" style="17" customWidth="1"/>
    <col min="3" max="6" width="10.6640625" style="17" customWidth="1"/>
    <col min="7" max="8" width="10.6640625" style="18" customWidth="1"/>
    <col min="9" max="9" width="10.6640625" style="17" customWidth="1"/>
    <col min="10" max="11" width="10.6640625" style="18" customWidth="1"/>
    <col min="12" max="12" width="10.6640625" style="17" customWidth="1"/>
    <col min="13" max="14" width="10.6640625" style="18" customWidth="1"/>
    <col min="15" max="15" width="10.6640625" style="17" customWidth="1"/>
    <col min="16" max="16" width="12.6640625" style="17" customWidth="1"/>
    <col min="17" max="17" width="11.6640625" style="17" customWidth="1"/>
    <col min="18" max="16384" width="9.1640625" style="17"/>
  </cols>
  <sheetData>
    <row r="1" spans="2:15" x14ac:dyDescent="0.2">
      <c r="B1" s="16" t="s">
        <v>27</v>
      </c>
    </row>
    <row r="2" spans="2:15" x14ac:dyDescent="0.2">
      <c r="B2" s="16" t="s">
        <v>20</v>
      </c>
    </row>
    <row r="3" spans="2:15" x14ac:dyDescent="0.2">
      <c r="B3" s="16" t="s">
        <v>21</v>
      </c>
    </row>
    <row r="4" spans="2:15" x14ac:dyDescent="0.2">
      <c r="B4" s="16" t="s">
        <v>22</v>
      </c>
    </row>
    <row r="6" spans="2:15" ht="16" thickBot="1" x14ac:dyDescent="0.25"/>
    <row r="7" spans="2:15" ht="16" thickBot="1" x14ac:dyDescent="0.25">
      <c r="B7" s="50" t="s">
        <v>23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2:15" ht="18" thickBot="1" x14ac:dyDescent="0.25">
      <c r="B8" s="58" t="s">
        <v>0</v>
      </c>
      <c r="C8" s="60" t="s">
        <v>17</v>
      </c>
      <c r="D8" s="56" t="s">
        <v>35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2:15" ht="33" thickBot="1" x14ac:dyDescent="0.25">
      <c r="B9" s="59"/>
      <c r="C9" s="61"/>
      <c r="D9" s="33" t="s">
        <v>31</v>
      </c>
      <c r="E9" s="19" t="s">
        <v>19</v>
      </c>
      <c r="F9" s="8" t="s">
        <v>18</v>
      </c>
      <c r="G9" s="31" t="s">
        <v>24</v>
      </c>
      <c r="H9" s="7" t="s">
        <v>28</v>
      </c>
      <c r="I9" s="8" t="s">
        <v>32</v>
      </c>
      <c r="J9" s="31" t="s">
        <v>25</v>
      </c>
      <c r="K9" s="7" t="s">
        <v>29</v>
      </c>
      <c r="L9" s="9" t="s">
        <v>33</v>
      </c>
      <c r="M9" s="32" t="s">
        <v>26</v>
      </c>
      <c r="N9" s="7" t="s">
        <v>30</v>
      </c>
      <c r="O9" s="10" t="s">
        <v>34</v>
      </c>
    </row>
    <row r="10" spans="2:15" x14ac:dyDescent="0.2">
      <c r="B10" s="53" t="s">
        <v>1</v>
      </c>
      <c r="C10" s="20">
        <v>26</v>
      </c>
      <c r="D10" s="34">
        <v>31</v>
      </c>
      <c r="E10" s="21">
        <v>5</v>
      </c>
      <c r="F10" s="22">
        <v>23</v>
      </c>
      <c r="G10" s="39">
        <v>22.78</v>
      </c>
      <c r="H10" s="1">
        <f>0.0142*G10</f>
        <v>0.32347600000000004</v>
      </c>
      <c r="I10" s="68">
        <f t="shared" ref="I10:I16" si="0">(G10-$D10)/$D10</f>
        <v>-0.26516129032258062</v>
      </c>
      <c r="J10" s="39">
        <v>22.46</v>
      </c>
      <c r="K10" s="65">
        <f>0.0143*J10</f>
        <v>0.32117800000000002</v>
      </c>
      <c r="L10" s="2">
        <f>(J10-$D10)/$D10</f>
        <v>-0.27548387096774191</v>
      </c>
      <c r="M10" s="46">
        <v>8.57</v>
      </c>
      <c r="N10" s="1">
        <f>0.023*M10</f>
        <v>0.19711000000000001</v>
      </c>
      <c r="O10" s="13">
        <f t="shared" ref="O10:O16" si="1">(M10-$D10)/$D10</f>
        <v>-0.72354838709677416</v>
      </c>
    </row>
    <row r="11" spans="2:15" x14ac:dyDescent="0.2">
      <c r="B11" s="54"/>
      <c r="C11" s="23">
        <v>28.3</v>
      </c>
      <c r="D11" s="35">
        <v>60</v>
      </c>
      <c r="E11" s="24">
        <v>9</v>
      </c>
      <c r="F11" s="25">
        <v>49</v>
      </c>
      <c r="G11" s="40">
        <v>47.94</v>
      </c>
      <c r="H11" s="3">
        <f>0.0098*G11</f>
        <v>0.46981199999999995</v>
      </c>
      <c r="I11" s="69">
        <f t="shared" si="0"/>
        <v>-0.20100000000000004</v>
      </c>
      <c r="J11" s="40">
        <v>45.29</v>
      </c>
      <c r="K11" s="66">
        <f>0.01*J11</f>
        <v>0.45290000000000002</v>
      </c>
      <c r="L11" s="4">
        <f>(J11-$D11)/$D11</f>
        <v>-0.24516666666666667</v>
      </c>
      <c r="M11" s="47">
        <v>16.63</v>
      </c>
      <c r="N11" s="3">
        <f>0.0164*M11</f>
        <v>0.27273200000000003</v>
      </c>
      <c r="O11" s="14">
        <f t="shared" si="1"/>
        <v>-0.72283333333333344</v>
      </c>
    </row>
    <row r="12" spans="2:15" ht="16" thickBot="1" x14ac:dyDescent="0.25">
      <c r="B12" s="55"/>
      <c r="C12" s="26">
        <v>34.4</v>
      </c>
      <c r="D12" s="36">
        <v>173</v>
      </c>
      <c r="E12" s="27">
        <v>26</v>
      </c>
      <c r="F12" s="28">
        <v>148</v>
      </c>
      <c r="G12" s="41">
        <v>143.19</v>
      </c>
      <c r="H12" s="5">
        <f>0.0056*G12</f>
        <v>0.80186400000000002</v>
      </c>
      <c r="I12" s="70">
        <f t="shared" si="0"/>
        <v>-0.17231213872832371</v>
      </c>
      <c r="J12" s="41">
        <v>127.74</v>
      </c>
      <c r="K12" s="67">
        <f>0.0059*J12</f>
        <v>0.75366599999999995</v>
      </c>
      <c r="L12" s="6">
        <f>(J12-$D12)/$D12</f>
        <v>-0.2616184971098266</v>
      </c>
      <c r="M12" s="48">
        <v>47.03</v>
      </c>
      <c r="N12" s="5">
        <f>0.0096*M12</f>
        <v>0.45148799999999994</v>
      </c>
      <c r="O12" s="15">
        <f t="shared" si="1"/>
        <v>-0.72815028901734102</v>
      </c>
    </row>
    <row r="13" spans="2:15" x14ac:dyDescent="0.2">
      <c r="B13" s="53" t="s">
        <v>2</v>
      </c>
      <c r="C13" s="23">
        <v>22.2</v>
      </c>
      <c r="D13" s="35">
        <v>46</v>
      </c>
      <c r="E13" s="24">
        <v>7</v>
      </c>
      <c r="F13" s="25">
        <v>35</v>
      </c>
      <c r="G13" s="40">
        <v>34.15</v>
      </c>
      <c r="H13" s="3">
        <f>0.0109*G13</f>
        <v>0.37223499999999998</v>
      </c>
      <c r="I13" s="2">
        <f t="shared" si="0"/>
        <v>-0.25760869565217392</v>
      </c>
      <c r="J13" s="40">
        <v>34.369999999999997</v>
      </c>
      <c r="K13" s="3">
        <f>0.0109*J13</f>
        <v>0.37463299999999999</v>
      </c>
      <c r="L13" s="2">
        <f t="shared" ref="L13:L15" si="2">(J13-$D13)/$D13</f>
        <v>-0.25282608695652181</v>
      </c>
      <c r="M13" s="47">
        <v>50.31</v>
      </c>
      <c r="N13" s="3">
        <f>0.009*M13</f>
        <v>0.45278999999999997</v>
      </c>
      <c r="O13" s="62">
        <f t="shared" si="1"/>
        <v>9.3695652173913097E-2</v>
      </c>
    </row>
    <row r="14" spans="2:15" x14ac:dyDescent="0.2">
      <c r="B14" s="54"/>
      <c r="C14" s="23">
        <v>28.3</v>
      </c>
      <c r="D14" s="35">
        <v>210</v>
      </c>
      <c r="E14" s="24">
        <v>32</v>
      </c>
      <c r="F14" s="25">
        <v>158</v>
      </c>
      <c r="G14" s="40">
        <v>153.05000000000001</v>
      </c>
      <c r="H14" s="3">
        <f>0.0051*G14</f>
        <v>0.78055500000000011</v>
      </c>
      <c r="I14" s="4">
        <f t="shared" si="0"/>
        <v>-0.27119047619047615</v>
      </c>
      <c r="J14" s="40">
        <v>152.69999999999999</v>
      </c>
      <c r="K14" s="3">
        <f>0.0051*J14</f>
        <v>0.77876999999999996</v>
      </c>
      <c r="L14" s="4">
        <f t="shared" si="2"/>
        <v>-0.27285714285714291</v>
      </c>
      <c r="M14" s="47">
        <v>221.95</v>
      </c>
      <c r="N14" s="3">
        <f>0.0042*M14</f>
        <v>0.93218999999999985</v>
      </c>
      <c r="O14" s="63">
        <f t="shared" si="1"/>
        <v>5.6904761904761854E-2</v>
      </c>
    </row>
    <row r="15" spans="2:15" ht="16" thickBot="1" x14ac:dyDescent="0.25">
      <c r="B15" s="55"/>
      <c r="C15" s="26">
        <v>34.299999999999997</v>
      </c>
      <c r="D15" s="36">
        <v>430</v>
      </c>
      <c r="E15" s="27">
        <v>65</v>
      </c>
      <c r="F15" s="28">
        <v>329</v>
      </c>
      <c r="G15" s="41">
        <v>318.88</v>
      </c>
      <c r="H15" s="5">
        <f>0.0035*G15</f>
        <v>1.11608</v>
      </c>
      <c r="I15" s="6">
        <f t="shared" si="0"/>
        <v>-0.25841860465116279</v>
      </c>
      <c r="J15" s="41">
        <v>314.08999999999997</v>
      </c>
      <c r="K15" s="5">
        <f>0.0035*J15</f>
        <v>1.099315</v>
      </c>
      <c r="L15" s="6">
        <f t="shared" si="2"/>
        <v>-0.26955813953488378</v>
      </c>
      <c r="M15" s="48">
        <v>463.77</v>
      </c>
      <c r="N15" s="5">
        <f>0.0029*M15</f>
        <v>1.3449329999999999</v>
      </c>
      <c r="O15" s="64">
        <f t="shared" si="1"/>
        <v>7.853488372093019E-2</v>
      </c>
    </row>
    <row r="16" spans="2:15" x14ac:dyDescent="0.2">
      <c r="B16" s="53" t="s">
        <v>3</v>
      </c>
      <c r="C16" s="23">
        <v>13.9</v>
      </c>
      <c r="D16" s="37">
        <v>1.1000000000000001</v>
      </c>
      <c r="E16" s="23">
        <v>0.2</v>
      </c>
      <c r="F16" s="29">
        <v>0.7</v>
      </c>
      <c r="G16" s="40">
        <v>0.66300000000000003</v>
      </c>
      <c r="H16" s="3">
        <f>0.0868*G16</f>
        <v>5.7548400000000006E-2</v>
      </c>
      <c r="I16" s="2">
        <f t="shared" si="0"/>
        <v>-0.39727272727272728</v>
      </c>
      <c r="J16" s="40">
        <v>0.76800000000000002</v>
      </c>
      <c r="K16" s="3">
        <f>0.0806*J16</f>
        <v>6.1900800000000006E-2</v>
      </c>
      <c r="L16" s="71">
        <f>(J16-$D16)/$D16</f>
        <v>-0.30181818181818187</v>
      </c>
      <c r="M16" s="47">
        <v>0.72760000000000002</v>
      </c>
      <c r="N16" s="3">
        <f>0.0828*M16</f>
        <v>6.0245279999999998E-2</v>
      </c>
      <c r="O16" s="13">
        <f t="shared" si="1"/>
        <v>-0.33854545454545459</v>
      </c>
    </row>
    <row r="17" spans="2:15" x14ac:dyDescent="0.2">
      <c r="B17" s="54"/>
      <c r="C17" s="23">
        <v>16.3</v>
      </c>
      <c r="D17" s="37">
        <v>3.6</v>
      </c>
      <c r="E17" s="23">
        <v>0.5</v>
      </c>
      <c r="F17" s="29">
        <v>2.9</v>
      </c>
      <c r="G17" s="40">
        <v>2.8279999999999998</v>
      </c>
      <c r="H17" s="3">
        <f>0.0421*G17</f>
        <v>0.11905879999999999</v>
      </c>
      <c r="I17" s="4">
        <f t="shared" ref="I17:I21" si="3">(G17-$D17)/$D17</f>
        <v>-0.21444444444444449</v>
      </c>
      <c r="J17" s="40">
        <v>3.012</v>
      </c>
      <c r="K17" s="3">
        <f>0.0407*J17</f>
        <v>0.1225884</v>
      </c>
      <c r="L17" s="72">
        <f t="shared" ref="L17:L21" si="4">(J17-$D17)/$D17</f>
        <v>-0.16333333333333336</v>
      </c>
      <c r="M17" s="47">
        <v>2.85</v>
      </c>
      <c r="N17" s="3">
        <f>0.0418*M17</f>
        <v>0.11913</v>
      </c>
      <c r="O17" s="14">
        <f t="shared" ref="O17:O21" si="5">(M17-$D17)/$D17</f>
        <v>-0.20833333333333331</v>
      </c>
    </row>
    <row r="18" spans="2:15" x14ac:dyDescent="0.2">
      <c r="B18" s="54"/>
      <c r="C18" s="23">
        <v>19.899999999999999</v>
      </c>
      <c r="D18" s="37">
        <v>11.8</v>
      </c>
      <c r="E18" s="23">
        <v>1.8</v>
      </c>
      <c r="F18" s="29">
        <v>8.9</v>
      </c>
      <c r="G18" s="40">
        <v>8.85</v>
      </c>
      <c r="H18" s="3">
        <f>0.0238*G18</f>
        <v>0.21063000000000001</v>
      </c>
      <c r="I18" s="4">
        <f t="shared" si="3"/>
        <v>-0.25000000000000006</v>
      </c>
      <c r="J18" s="40">
        <v>9.0459999999999994</v>
      </c>
      <c r="K18" s="3">
        <f>0.0235*J18</f>
        <v>0.21258099999999999</v>
      </c>
      <c r="L18" s="72">
        <f t="shared" si="4"/>
        <v>-0.23338983050847467</v>
      </c>
      <c r="M18" s="47">
        <v>8.6300000000000008</v>
      </c>
      <c r="N18" s="3">
        <f>0.0241*M18</f>
        <v>0.20798300000000003</v>
      </c>
      <c r="O18" s="14">
        <f t="shared" si="5"/>
        <v>-0.26864406779661015</v>
      </c>
    </row>
    <row r="19" spans="2:15" x14ac:dyDescent="0.2">
      <c r="B19" s="54"/>
      <c r="C19" s="23">
        <v>23.5</v>
      </c>
      <c r="D19" s="37">
        <v>21.1</v>
      </c>
      <c r="E19" s="23">
        <v>3.2</v>
      </c>
      <c r="F19" s="29">
        <v>14.5</v>
      </c>
      <c r="G19" s="40">
        <v>14.33</v>
      </c>
      <c r="H19" s="3">
        <f>0.0187*G19</f>
        <v>0.26797100000000001</v>
      </c>
      <c r="I19" s="4">
        <f t="shared" si="3"/>
        <v>-0.32085308056872042</v>
      </c>
      <c r="J19" s="40">
        <v>14.73</v>
      </c>
      <c r="K19" s="3">
        <f>0.0184*J19</f>
        <v>0.271032</v>
      </c>
      <c r="L19" s="72">
        <f t="shared" si="4"/>
        <v>-0.30189573459715641</v>
      </c>
      <c r="M19" s="47">
        <v>14.23</v>
      </c>
      <c r="N19" s="3">
        <f>0.0188*M19</f>
        <v>0.26752400000000004</v>
      </c>
      <c r="O19" s="14">
        <f t="shared" si="5"/>
        <v>-0.32559241706161141</v>
      </c>
    </row>
    <row r="20" spans="2:15" x14ac:dyDescent="0.2">
      <c r="B20" s="54"/>
      <c r="C20" s="23">
        <v>25.9</v>
      </c>
      <c r="D20" s="37">
        <v>26.3</v>
      </c>
      <c r="E20" s="23">
        <v>3.9</v>
      </c>
      <c r="F20" s="29">
        <v>17.7</v>
      </c>
      <c r="G20" s="40">
        <v>17.559999999999999</v>
      </c>
      <c r="H20" s="3">
        <f>0.0169*G20</f>
        <v>0.29676399999999997</v>
      </c>
      <c r="I20" s="4">
        <f t="shared" si="3"/>
        <v>-0.33231939163498103</v>
      </c>
      <c r="J20" s="40">
        <v>18.12</v>
      </c>
      <c r="K20" s="3">
        <f>0.0166*J20</f>
        <v>0.300792</v>
      </c>
      <c r="L20" s="72">
        <f t="shared" si="4"/>
        <v>-0.31102661596958175</v>
      </c>
      <c r="M20" s="47">
        <v>17.579999999999998</v>
      </c>
      <c r="N20" s="3">
        <f>0.0169*M20</f>
        <v>0.29710199999999992</v>
      </c>
      <c r="O20" s="14">
        <f t="shared" si="5"/>
        <v>-0.33155893536121683</v>
      </c>
    </row>
    <row r="21" spans="2:15" x14ac:dyDescent="0.2">
      <c r="B21" s="54"/>
      <c r="C21" s="23">
        <v>28.2</v>
      </c>
      <c r="D21" s="37">
        <v>30.9</v>
      </c>
      <c r="E21" s="23">
        <v>4.5999999999999996</v>
      </c>
      <c r="F21" s="29">
        <v>20.2</v>
      </c>
      <c r="G21" s="40">
        <v>20.25</v>
      </c>
      <c r="H21" s="3">
        <f>0.0157*G21</f>
        <v>0.31792499999999996</v>
      </c>
      <c r="I21" s="4">
        <f t="shared" si="3"/>
        <v>-0.34466019417475724</v>
      </c>
      <c r="J21" s="40">
        <v>20.97</v>
      </c>
      <c r="K21" s="3">
        <f>0.0155*J21</f>
        <v>0.32503499999999996</v>
      </c>
      <c r="L21" s="72">
        <f t="shared" si="4"/>
        <v>-0.32135922330097089</v>
      </c>
      <c r="M21" s="47">
        <v>20.329999999999998</v>
      </c>
      <c r="N21" s="3">
        <f>0.0157*M21</f>
        <v>0.31918099999999994</v>
      </c>
      <c r="O21" s="14">
        <f t="shared" si="5"/>
        <v>-0.34207119741100328</v>
      </c>
    </row>
    <row r="22" spans="2:15" ht="16" thickBot="1" x14ac:dyDescent="0.25">
      <c r="B22" s="55"/>
      <c r="C22" s="26">
        <v>31.9</v>
      </c>
      <c r="D22" s="38">
        <v>35.799999999999997</v>
      </c>
      <c r="E22" s="26">
        <v>5.4</v>
      </c>
      <c r="F22" s="30">
        <v>23.2</v>
      </c>
      <c r="G22" s="41">
        <v>22.9</v>
      </c>
      <c r="H22" s="5">
        <f>0.0148*G22</f>
        <v>0.33892</v>
      </c>
      <c r="I22" s="6">
        <f>(G22-$D22)/$D22</f>
        <v>-0.36033519553072624</v>
      </c>
      <c r="J22" s="41">
        <v>23.79</v>
      </c>
      <c r="K22" s="5">
        <f>0.0145*J22</f>
        <v>0.34495500000000001</v>
      </c>
      <c r="L22" s="73">
        <f>(J22-$D22)/$D22</f>
        <v>-0.33547486033519552</v>
      </c>
      <c r="M22" s="48">
        <v>23.36</v>
      </c>
      <c r="N22" s="5">
        <f>0.0147*M22</f>
        <v>0.34339199999999998</v>
      </c>
      <c r="O22" s="15">
        <f>(M22-$D22)/$D22</f>
        <v>-0.34748603351955304</v>
      </c>
    </row>
    <row r="23" spans="2:15" x14ac:dyDescent="0.2">
      <c r="B23" s="53" t="s">
        <v>4</v>
      </c>
      <c r="C23" s="23">
        <v>16.100000000000001</v>
      </c>
      <c r="D23" s="35">
        <v>30</v>
      </c>
      <c r="E23" s="24">
        <v>5</v>
      </c>
      <c r="F23" s="25">
        <v>41</v>
      </c>
      <c r="G23" s="40">
        <v>40.08</v>
      </c>
      <c r="H23" s="3">
        <f>0.0094*G23</f>
        <v>0.37675199999999998</v>
      </c>
      <c r="I23" s="74">
        <f>(G23-$D23)/$D23</f>
        <v>0.33599999999999997</v>
      </c>
      <c r="J23" s="40">
        <v>42.6</v>
      </c>
      <c r="K23" s="3">
        <f>0.0091*J23</f>
        <v>0.38766</v>
      </c>
      <c r="L23" s="71">
        <f>(J23-$D23)/$D23</f>
        <v>0.42000000000000004</v>
      </c>
      <c r="M23" s="47">
        <v>40.590000000000003</v>
      </c>
      <c r="N23" s="3">
        <f>0.0093*M23</f>
        <v>0.37748700000000002</v>
      </c>
      <c r="O23" s="13">
        <f>(M23-$D23)/$D23</f>
        <v>0.35300000000000009</v>
      </c>
    </row>
    <row r="24" spans="2:15" x14ac:dyDescent="0.2">
      <c r="B24" s="54"/>
      <c r="C24" s="23">
        <v>21.2</v>
      </c>
      <c r="D24" s="35">
        <v>260</v>
      </c>
      <c r="E24" s="24">
        <v>39</v>
      </c>
      <c r="F24" s="25">
        <v>268</v>
      </c>
      <c r="G24" s="40">
        <v>260.82</v>
      </c>
      <c r="H24" s="3">
        <f>0.0037*G24</f>
        <v>0.96503400000000006</v>
      </c>
      <c r="I24" s="75">
        <f t="shared" ref="I24:I26" si="6">(G24-$D24)/$D24</f>
        <v>3.1538461538461278E-3</v>
      </c>
      <c r="J24" s="40">
        <v>267.08999999999997</v>
      </c>
      <c r="K24" s="3">
        <f>0.0036*J24</f>
        <v>0.96152399999999993</v>
      </c>
      <c r="L24" s="72">
        <f t="shared" ref="L24:L26" si="7">(J24-$D24)/$D24</f>
        <v>2.7269230769230674E-2</v>
      </c>
      <c r="M24" s="47">
        <v>253.85</v>
      </c>
      <c r="N24" s="3">
        <f>0.0037*M24</f>
        <v>0.939245</v>
      </c>
      <c r="O24" s="14">
        <f t="shared" ref="O24:O26" si="8">(M24-$D24)/$D24</f>
        <v>-2.3653846153846175E-2</v>
      </c>
    </row>
    <row r="25" spans="2:15" x14ac:dyDescent="0.2">
      <c r="B25" s="54"/>
      <c r="C25" s="23">
        <v>28.3</v>
      </c>
      <c r="D25" s="35">
        <v>820</v>
      </c>
      <c r="E25" s="24">
        <v>123</v>
      </c>
      <c r="F25" s="25">
        <v>765</v>
      </c>
      <c r="G25" s="40">
        <v>737.06</v>
      </c>
      <c r="H25" s="3">
        <f>0.0022*G25</f>
        <v>1.621532</v>
      </c>
      <c r="I25" s="75">
        <f t="shared" si="6"/>
        <v>-0.1011463414634147</v>
      </c>
      <c r="J25" s="40">
        <v>758.59</v>
      </c>
      <c r="K25" s="3">
        <f>0.0022*J25</f>
        <v>1.6688980000000002</v>
      </c>
      <c r="L25" s="72">
        <f t="shared" si="7"/>
        <v>-7.489024390243898E-2</v>
      </c>
      <c r="M25" s="47">
        <v>730.89</v>
      </c>
      <c r="N25" s="3">
        <f>0.0023*M25</f>
        <v>1.681047</v>
      </c>
      <c r="O25" s="14">
        <f t="shared" si="8"/>
        <v>-0.10867073170731709</v>
      </c>
    </row>
    <row r="26" spans="2:15" x14ac:dyDescent="0.2">
      <c r="B26" s="54"/>
      <c r="C26" s="23">
        <v>34.4</v>
      </c>
      <c r="D26" s="35">
        <v>1290</v>
      </c>
      <c r="E26" s="24">
        <v>194</v>
      </c>
      <c r="F26" s="25">
        <v>1165</v>
      </c>
      <c r="G26" s="40">
        <v>1129.45</v>
      </c>
      <c r="H26" s="3">
        <f>0.0018*G26</f>
        <v>2.03301</v>
      </c>
      <c r="I26" s="75">
        <f t="shared" si="6"/>
        <v>-0.12445736434108523</v>
      </c>
      <c r="J26" s="40">
        <v>1170.1199999999999</v>
      </c>
      <c r="K26" s="3">
        <f>0.0018*J26</f>
        <v>2.1062159999999999</v>
      </c>
      <c r="L26" s="72">
        <f t="shared" si="7"/>
        <v>-9.2930232558139619E-2</v>
      </c>
      <c r="M26" s="47">
        <v>1141.3499999999999</v>
      </c>
      <c r="N26" s="3">
        <f>0.0019*M26</f>
        <v>2.1685649999999996</v>
      </c>
      <c r="O26" s="14">
        <f t="shared" si="8"/>
        <v>-0.11523255813953495</v>
      </c>
    </row>
    <row r="27" spans="2:15" ht="16" thickBot="1" x14ac:dyDescent="0.25">
      <c r="B27" s="55"/>
      <c r="C27" s="26">
        <v>35.5</v>
      </c>
      <c r="D27" s="36">
        <v>1390</v>
      </c>
      <c r="E27" s="27">
        <v>209</v>
      </c>
      <c r="F27" s="28">
        <v>1228</v>
      </c>
      <c r="G27" s="41">
        <v>1192.6099999999999</v>
      </c>
      <c r="H27" s="5">
        <f>0.0018*G27</f>
        <v>2.1466979999999998</v>
      </c>
      <c r="I27" s="76">
        <f>(G27-$D27)/$D27</f>
        <v>-0.1420071942446044</v>
      </c>
      <c r="J27" s="41">
        <v>1237.51</v>
      </c>
      <c r="K27" s="5">
        <f>0.0018*J27</f>
        <v>2.2275179999999999</v>
      </c>
      <c r="L27" s="73">
        <f>(J27-$D27)/$D27</f>
        <v>-0.10970503597122302</v>
      </c>
      <c r="M27" s="48">
        <v>1210.71</v>
      </c>
      <c r="N27" s="5">
        <f>0.0018*M27</f>
        <v>2.179278</v>
      </c>
      <c r="O27" s="15">
        <f>(M27-$D27)/$D27</f>
        <v>-0.12898561151079135</v>
      </c>
    </row>
    <row r="28" spans="2:15" x14ac:dyDescent="0.2">
      <c r="B28" s="53" t="s">
        <v>5</v>
      </c>
      <c r="C28" s="23">
        <v>16.100000000000001</v>
      </c>
      <c r="D28" s="35">
        <v>50</v>
      </c>
      <c r="E28" s="24">
        <v>8</v>
      </c>
      <c r="F28" s="25">
        <v>68</v>
      </c>
      <c r="G28" s="40">
        <v>67.55</v>
      </c>
      <c r="H28" s="3">
        <f>0.0093*G28</f>
        <v>0.62821499999999997</v>
      </c>
      <c r="I28" s="74">
        <f>(G28-$D28)/$D28</f>
        <v>0.35099999999999992</v>
      </c>
      <c r="J28" s="40">
        <v>71.64</v>
      </c>
      <c r="K28" s="3">
        <f>0.009*J28</f>
        <v>0.64476</v>
      </c>
      <c r="L28" s="71">
        <f>(J28-$D28)/$D28</f>
        <v>0.43280000000000002</v>
      </c>
      <c r="M28" s="47">
        <v>68.459999999999994</v>
      </c>
      <c r="N28" s="3">
        <f>0.0092*M28</f>
        <v>0.62983199999999995</v>
      </c>
      <c r="O28" s="13">
        <f>(M28-$D28)/$D28</f>
        <v>0.36919999999999986</v>
      </c>
    </row>
    <row r="29" spans="2:15" x14ac:dyDescent="0.2">
      <c r="B29" s="54"/>
      <c r="C29" s="23">
        <v>21.2</v>
      </c>
      <c r="D29" s="35">
        <v>430</v>
      </c>
      <c r="E29" s="24">
        <v>65</v>
      </c>
      <c r="F29" s="25">
        <v>460</v>
      </c>
      <c r="G29" s="40">
        <v>447.59</v>
      </c>
      <c r="H29" s="3">
        <f>0.0036*G19</f>
        <v>5.1588000000000002E-2</v>
      </c>
      <c r="I29" s="75">
        <f t="shared" ref="I29:I30" si="9">(G29-$D29)/$D29</f>
        <v>4.0906976744185988E-2</v>
      </c>
      <c r="J29" s="40">
        <v>458.58</v>
      </c>
      <c r="K29" s="3">
        <f>0.0036*J19</f>
        <v>5.3027999999999999E-2</v>
      </c>
      <c r="L29" s="72">
        <f t="shared" ref="L29:L30" si="10">(J29-$D29)/$D29</f>
        <v>6.646511627906973E-2</v>
      </c>
      <c r="M29" s="47">
        <v>436.2</v>
      </c>
      <c r="N29" s="3">
        <f>0.0037*M29</f>
        <v>1.6139399999999999</v>
      </c>
      <c r="O29" s="14">
        <f t="shared" ref="O29:O30" si="11">(M29-$D29)/$D29</f>
        <v>1.4418604651162764E-2</v>
      </c>
    </row>
    <row r="30" spans="2:15" x14ac:dyDescent="0.2">
      <c r="B30" s="54"/>
      <c r="C30" s="23">
        <v>28.3</v>
      </c>
      <c r="D30" s="35">
        <v>1390</v>
      </c>
      <c r="E30" s="24">
        <v>209</v>
      </c>
      <c r="F30" s="25">
        <v>1375</v>
      </c>
      <c r="G30" s="40">
        <v>1322.97</v>
      </c>
      <c r="H30" s="3">
        <f>0.0022*G30</f>
        <v>2.9105340000000002</v>
      </c>
      <c r="I30" s="75">
        <f t="shared" si="9"/>
        <v>-4.8223021582733797E-2</v>
      </c>
      <c r="J30" s="40">
        <v>1360.69</v>
      </c>
      <c r="K30" s="3">
        <f>0.0021*J30</f>
        <v>2.8574489999999999</v>
      </c>
      <c r="L30" s="72">
        <f t="shared" si="10"/>
        <v>-2.1086330935251758E-2</v>
      </c>
      <c r="M30" s="47">
        <v>1311.25</v>
      </c>
      <c r="N30" s="3">
        <f>0.0022*M30</f>
        <v>2.8847500000000004</v>
      </c>
      <c r="O30" s="14">
        <f t="shared" si="11"/>
        <v>-5.6654676258992807E-2</v>
      </c>
    </row>
    <row r="31" spans="2:15" ht="16" thickBot="1" x14ac:dyDescent="0.25">
      <c r="B31" s="55"/>
      <c r="C31" s="26">
        <v>34.4</v>
      </c>
      <c r="D31" s="36">
        <v>2370</v>
      </c>
      <c r="E31" s="27">
        <v>356</v>
      </c>
      <c r="F31" s="28">
        <v>2194</v>
      </c>
      <c r="G31" s="41">
        <v>2118.92</v>
      </c>
      <c r="H31" s="5">
        <f>0.0017*G31</f>
        <v>3.6021640000000001</v>
      </c>
      <c r="I31" s="76">
        <f>(G31-$D31)/$D31</f>
        <v>-0.10594092827004216</v>
      </c>
      <c r="J31" s="41">
        <v>2194.19</v>
      </c>
      <c r="K31" s="5">
        <f>0.0017*J31</f>
        <v>3.7301229999999999</v>
      </c>
      <c r="L31" s="73">
        <f t="shared" ref="L31:L71" si="12">(J31-$D31)/$D31</f>
        <v>-7.418143459915609E-2</v>
      </c>
      <c r="M31" s="48">
        <v>2136.9499999999998</v>
      </c>
      <c r="N31" s="5">
        <f>0.0017*M31</f>
        <v>3.6328149999999995</v>
      </c>
      <c r="O31" s="15">
        <f t="shared" ref="O31:O40" si="13">(M31-$D31)/$D31</f>
        <v>-9.8333333333333411E-2</v>
      </c>
    </row>
    <row r="32" spans="2:15" x14ac:dyDescent="0.2">
      <c r="B32" s="53" t="s">
        <v>6</v>
      </c>
      <c r="C32" s="23">
        <v>16.100000000000001</v>
      </c>
      <c r="D32" s="35">
        <v>70</v>
      </c>
      <c r="E32" s="24">
        <v>11</v>
      </c>
      <c r="F32" s="25">
        <v>86</v>
      </c>
      <c r="G32" s="40">
        <v>84.93</v>
      </c>
      <c r="H32" s="3">
        <f>0.0093*G32</f>
        <v>0.78984900000000002</v>
      </c>
      <c r="I32" s="74">
        <f>(G32-$D32)/$D32</f>
        <v>0.21328571428571438</v>
      </c>
      <c r="J32" s="40">
        <v>90.11</v>
      </c>
      <c r="K32" s="3">
        <f>0.009*J32</f>
        <v>0.81098999999999999</v>
      </c>
      <c r="L32" s="72">
        <f t="shared" si="12"/>
        <v>0.28728571428571426</v>
      </c>
      <c r="M32" s="47">
        <v>86.11</v>
      </c>
      <c r="N32" s="3">
        <f>0.0092*M32</f>
        <v>0.79221200000000003</v>
      </c>
      <c r="O32" s="13">
        <f t="shared" si="13"/>
        <v>0.23014285714285712</v>
      </c>
    </row>
    <row r="33" spans="2:15" x14ac:dyDescent="0.2">
      <c r="B33" s="54"/>
      <c r="C33" s="23">
        <v>21.2</v>
      </c>
      <c r="D33" s="35">
        <v>530</v>
      </c>
      <c r="E33" s="24">
        <v>80</v>
      </c>
      <c r="F33" s="25">
        <v>580</v>
      </c>
      <c r="G33" s="40">
        <v>563.66</v>
      </c>
      <c r="H33" s="3">
        <f>0.0036*G33</f>
        <v>2.0291759999999996</v>
      </c>
      <c r="I33" s="75">
        <f t="shared" ref="I33:I34" si="14">(G33-$D33)/$D33</f>
        <v>6.3509433962264092E-2</v>
      </c>
      <c r="J33" s="40">
        <v>577.91</v>
      </c>
      <c r="K33" s="3">
        <f>0.0036*J33</f>
        <v>2.080476</v>
      </c>
      <c r="L33" s="72">
        <f t="shared" si="12"/>
        <v>9.0396226415094275E-2</v>
      </c>
      <c r="M33" s="47">
        <v>549.76</v>
      </c>
      <c r="N33" s="3">
        <f>0.0037*M33</f>
        <v>2.0341119999999999</v>
      </c>
      <c r="O33" s="14">
        <f t="shared" si="13"/>
        <v>3.7283018867924511E-2</v>
      </c>
    </row>
    <row r="34" spans="2:15" x14ac:dyDescent="0.2">
      <c r="B34" s="54"/>
      <c r="C34" s="23">
        <v>28.3</v>
      </c>
      <c r="D34" s="35">
        <v>1800</v>
      </c>
      <c r="E34" s="24">
        <v>270</v>
      </c>
      <c r="F34" s="25">
        <v>1754</v>
      </c>
      <c r="G34" s="40">
        <v>1684.91</v>
      </c>
      <c r="H34" s="3">
        <f>0.0021*G34</f>
        <v>3.5383109999999998</v>
      </c>
      <c r="I34" s="75">
        <f t="shared" si="14"/>
        <v>-6.3938888888888837E-2</v>
      </c>
      <c r="J34" s="40">
        <v>1732.52</v>
      </c>
      <c r="K34" s="3">
        <f>0.0021*J34</f>
        <v>3.6382919999999999</v>
      </c>
      <c r="L34" s="72">
        <f t="shared" si="12"/>
        <v>-3.7488888888888898E-2</v>
      </c>
      <c r="M34" s="47">
        <v>1669.84</v>
      </c>
      <c r="N34" s="3">
        <f>0.0022*M34</f>
        <v>3.673648</v>
      </c>
      <c r="O34" s="14">
        <f t="shared" si="13"/>
        <v>-7.2311111111111159E-2</v>
      </c>
    </row>
    <row r="35" spans="2:15" ht="16" thickBot="1" x14ac:dyDescent="0.25">
      <c r="B35" s="55"/>
      <c r="C35" s="26">
        <v>34.4</v>
      </c>
      <c r="D35" s="36">
        <v>2930</v>
      </c>
      <c r="E35" s="27">
        <v>440</v>
      </c>
      <c r="F35" s="28">
        <v>2834</v>
      </c>
      <c r="G35" s="41">
        <v>2730.96</v>
      </c>
      <c r="H35" s="5">
        <f>0.0017*G35</f>
        <v>4.6426319999999999</v>
      </c>
      <c r="I35" s="76">
        <f>(G35-$D35)/$D35</f>
        <v>-6.7931740614334463E-2</v>
      </c>
      <c r="J35" s="41">
        <v>2827.07</v>
      </c>
      <c r="K35" s="5">
        <f>0.0017*J35</f>
        <v>4.806019</v>
      </c>
      <c r="L35" s="73">
        <f t="shared" si="12"/>
        <v>-3.5129692832764452E-2</v>
      </c>
      <c r="M35" s="48">
        <v>2752.84</v>
      </c>
      <c r="N35" s="5">
        <f>0.0017*M35</f>
        <v>4.6798279999999997</v>
      </c>
      <c r="O35" s="15">
        <f t="shared" si="13"/>
        <v>-6.0464163822525549E-2</v>
      </c>
    </row>
    <row r="36" spans="2:15" x14ac:dyDescent="0.2">
      <c r="B36" s="53" t="s">
        <v>7</v>
      </c>
      <c r="C36" s="23">
        <v>16.100000000000001</v>
      </c>
      <c r="D36" s="35">
        <v>100</v>
      </c>
      <c r="E36" s="24">
        <v>15</v>
      </c>
      <c r="F36" s="25">
        <v>97</v>
      </c>
      <c r="G36" s="40">
        <v>95.8</v>
      </c>
      <c r="H36" s="3">
        <f>0.0093*G36</f>
        <v>0.89093999999999995</v>
      </c>
      <c r="I36" s="74">
        <f>(G36-$D36)/$D36</f>
        <v>-4.200000000000003E-2</v>
      </c>
      <c r="J36" s="40">
        <v>101.6</v>
      </c>
      <c r="K36" s="3">
        <f>0.009*J36</f>
        <v>0.91439999999999988</v>
      </c>
      <c r="L36" s="72">
        <f t="shared" si="12"/>
        <v>1.5999999999999945E-2</v>
      </c>
      <c r="M36" s="47">
        <v>97.16</v>
      </c>
      <c r="N36" s="3">
        <f>0.0092*M36</f>
        <v>0.893872</v>
      </c>
      <c r="O36" s="13">
        <f t="shared" si="13"/>
        <v>-2.8400000000000033E-2</v>
      </c>
    </row>
    <row r="37" spans="2:15" x14ac:dyDescent="0.2">
      <c r="B37" s="54"/>
      <c r="C37" s="23">
        <v>21.2</v>
      </c>
      <c r="D37" s="35">
        <v>600</v>
      </c>
      <c r="E37" s="24">
        <v>90</v>
      </c>
      <c r="F37" s="25">
        <v>655</v>
      </c>
      <c r="G37" s="40">
        <v>636.38</v>
      </c>
      <c r="H37" s="3">
        <f>0.0036*G37</f>
        <v>2.2909679999999999</v>
      </c>
      <c r="I37" s="75">
        <f t="shared" ref="I37:I38" si="15">(G37-$D37)/$D37</f>
        <v>6.0633333333333324E-2</v>
      </c>
      <c r="J37" s="40">
        <v>652.04</v>
      </c>
      <c r="K37" s="3">
        <f>0.0036*J37</f>
        <v>2.3473439999999997</v>
      </c>
      <c r="L37" s="72">
        <f t="shared" si="12"/>
        <v>8.6733333333333273E-2</v>
      </c>
      <c r="M37" s="47">
        <v>620.67999999999995</v>
      </c>
      <c r="N37" s="3">
        <f>0.0037*M37</f>
        <v>2.296516</v>
      </c>
      <c r="O37" s="14">
        <f t="shared" si="13"/>
        <v>3.4466666666666583E-2</v>
      </c>
    </row>
    <row r="38" spans="2:15" x14ac:dyDescent="0.2">
      <c r="B38" s="54"/>
      <c r="C38" s="23">
        <v>28.3</v>
      </c>
      <c r="D38" s="35">
        <v>2130</v>
      </c>
      <c r="E38" s="24">
        <v>320</v>
      </c>
      <c r="F38" s="25">
        <v>1987</v>
      </c>
      <c r="G38" s="40">
        <v>1908.85</v>
      </c>
      <c r="H38" s="3">
        <f>0.0021*G38</f>
        <v>4.0085849999999992</v>
      </c>
      <c r="I38" s="75">
        <f t="shared" si="15"/>
        <v>-0.10382629107981226</v>
      </c>
      <c r="J38" s="40">
        <v>1962.73</v>
      </c>
      <c r="K38" s="3">
        <f>0.0021*J38</f>
        <v>4.1217329999999999</v>
      </c>
      <c r="L38" s="72">
        <f t="shared" si="12"/>
        <v>-7.8530516431924879E-2</v>
      </c>
      <c r="M38" s="47">
        <v>1892.05</v>
      </c>
      <c r="N38" s="3">
        <f>0.0022*M38</f>
        <v>4.1625100000000002</v>
      </c>
      <c r="O38" s="14">
        <f t="shared" si="13"/>
        <v>-0.1117136150234742</v>
      </c>
    </row>
    <row r="39" spans="2:15" ht="16" thickBot="1" x14ac:dyDescent="0.25">
      <c r="B39" s="54"/>
      <c r="C39" s="26">
        <v>34.4</v>
      </c>
      <c r="D39" s="36">
        <v>3350</v>
      </c>
      <c r="E39" s="27">
        <v>503</v>
      </c>
      <c r="F39" s="28">
        <v>3227</v>
      </c>
      <c r="G39" s="41">
        <v>3109.42</v>
      </c>
      <c r="H39" s="5">
        <f>0.0017*G39</f>
        <v>5.2860139999999998</v>
      </c>
      <c r="I39" s="76">
        <f>(G39-$D39)/$D39</f>
        <v>-7.1814925373134303E-2</v>
      </c>
      <c r="J39" s="41">
        <v>3218.18</v>
      </c>
      <c r="K39" s="5">
        <f>0.0017*J39</f>
        <v>5.4709059999999994</v>
      </c>
      <c r="L39" s="73">
        <f t="shared" si="12"/>
        <v>-3.9349253731343334E-2</v>
      </c>
      <c r="M39" s="48">
        <v>3134.06</v>
      </c>
      <c r="N39" s="5">
        <f>0.0017*M39</f>
        <v>5.3279019999999999</v>
      </c>
      <c r="O39" s="15">
        <f t="shared" si="13"/>
        <v>-6.4459701492537325E-2</v>
      </c>
    </row>
    <row r="40" spans="2:15" x14ac:dyDescent="0.2">
      <c r="B40" s="53" t="s">
        <v>8</v>
      </c>
      <c r="C40" s="20">
        <v>10.3</v>
      </c>
      <c r="D40" s="35">
        <v>80</v>
      </c>
      <c r="E40" s="24">
        <v>12</v>
      </c>
      <c r="F40" s="29">
        <v>8.1</v>
      </c>
      <c r="G40" s="40">
        <v>8.0500000000000007</v>
      </c>
      <c r="H40" s="3">
        <f>0.0228*G40</f>
        <v>0.18354000000000004</v>
      </c>
      <c r="I40" s="71">
        <f>(G40-$D40)/$D40</f>
        <v>-0.89937500000000004</v>
      </c>
      <c r="J40" s="40">
        <v>8.39</v>
      </c>
      <c r="K40" s="3">
        <f>0.0225*J40</f>
        <v>0.188775</v>
      </c>
      <c r="L40" s="4">
        <f t="shared" si="12"/>
        <v>-0.89512499999999995</v>
      </c>
      <c r="M40" s="47">
        <v>9.6951000000000001</v>
      </c>
      <c r="N40" s="3">
        <f>0.0209*M40</f>
        <v>0.20262759</v>
      </c>
      <c r="O40" s="13">
        <f t="shared" si="13"/>
        <v>-0.87881125000000004</v>
      </c>
    </row>
    <row r="41" spans="2:15" x14ac:dyDescent="0.2">
      <c r="B41" s="54"/>
      <c r="C41" s="23">
        <v>18.7</v>
      </c>
      <c r="D41" s="35">
        <v>520</v>
      </c>
      <c r="E41" s="24">
        <v>78</v>
      </c>
      <c r="F41" s="25">
        <v>575</v>
      </c>
      <c r="G41" s="40">
        <v>556.46</v>
      </c>
      <c r="H41" s="3">
        <f>0.0028*G41</f>
        <v>1.5580880000000001</v>
      </c>
      <c r="I41" s="72">
        <f t="shared" ref="I41:I42" si="16">(G41-$D41)/$D41</f>
        <v>7.011538461538469E-2</v>
      </c>
      <c r="J41" s="40">
        <v>578.03</v>
      </c>
      <c r="K41" s="3">
        <f>0.0027*J41</f>
        <v>1.560681</v>
      </c>
      <c r="L41" s="4">
        <f t="shared" si="12"/>
        <v>0.11159615384615379</v>
      </c>
      <c r="M41" s="47">
        <v>634.41</v>
      </c>
      <c r="N41" s="3">
        <f>0.0026*M41</f>
        <v>1.6494659999999999</v>
      </c>
      <c r="O41" s="14">
        <f t="shared" ref="O41:O42" si="17">(M41-$D41)/$D41</f>
        <v>0.22001923076923072</v>
      </c>
    </row>
    <row r="42" spans="2:15" x14ac:dyDescent="0.2">
      <c r="B42" s="54"/>
      <c r="C42" s="23">
        <v>28.3</v>
      </c>
      <c r="D42" s="35">
        <v>1380</v>
      </c>
      <c r="E42" s="24">
        <v>207</v>
      </c>
      <c r="F42" s="25">
        <v>1427</v>
      </c>
      <c r="G42" s="40">
        <v>1395.8</v>
      </c>
      <c r="H42" s="3">
        <f>0.0019*G42</f>
        <v>2.6520199999999998</v>
      </c>
      <c r="I42" s="72">
        <f t="shared" si="16"/>
        <v>1.1449275362318807E-2</v>
      </c>
      <c r="J42" s="40">
        <v>1447.49</v>
      </c>
      <c r="K42" s="3">
        <f>0.0018*J42</f>
        <v>2.6054819999999999</v>
      </c>
      <c r="L42" s="4">
        <f t="shared" si="12"/>
        <v>4.890579710144928E-2</v>
      </c>
      <c r="M42" s="47">
        <v>1573.21</v>
      </c>
      <c r="N42" s="3">
        <f>0.0018*M42</f>
        <v>2.8317779999999999</v>
      </c>
      <c r="O42" s="14">
        <f t="shared" si="17"/>
        <v>0.14000724637681161</v>
      </c>
    </row>
    <row r="43" spans="2:15" ht="16" thickBot="1" x14ac:dyDescent="0.25">
      <c r="B43" s="55"/>
      <c r="C43" s="26">
        <v>34.299999999999997</v>
      </c>
      <c r="D43" s="36">
        <v>1810</v>
      </c>
      <c r="E43" s="27">
        <v>272</v>
      </c>
      <c r="F43" s="28">
        <v>1718</v>
      </c>
      <c r="G43" s="41">
        <v>1689.71</v>
      </c>
      <c r="H43" s="5">
        <f>0.0017*G43</f>
        <v>2.8725069999999997</v>
      </c>
      <c r="I43" s="73">
        <f t="shared" ref="I43:I59" si="18">(G43-$D43)/$D43</f>
        <v>-6.6458563535911577E-2</v>
      </c>
      <c r="J43" s="41">
        <v>1768.02</v>
      </c>
      <c r="K43" s="5">
        <f>0.0017*J43</f>
        <v>3.0056339999999997</v>
      </c>
      <c r="L43" s="6">
        <f t="shared" si="12"/>
        <v>-2.3193370165745866E-2</v>
      </c>
      <c r="M43" s="48">
        <v>1922.36</v>
      </c>
      <c r="N43" s="5">
        <f>0.0016*M43</f>
        <v>3.0757759999999998</v>
      </c>
      <c r="O43" s="15">
        <f>(M43-$D43)/$D43</f>
        <v>6.2077348066298291E-2</v>
      </c>
    </row>
    <row r="44" spans="2:15" x14ac:dyDescent="0.2">
      <c r="B44" s="53" t="s">
        <v>9</v>
      </c>
      <c r="C44" s="23">
        <v>18.7</v>
      </c>
      <c r="D44" s="35">
        <v>730</v>
      </c>
      <c r="E44" s="24">
        <v>110</v>
      </c>
      <c r="F44" s="25">
        <v>625</v>
      </c>
      <c r="G44" s="40">
        <v>604.94000000000005</v>
      </c>
      <c r="H44" s="3">
        <f>0.0027*G44</f>
        <v>1.6333380000000002</v>
      </c>
      <c r="I44" s="71">
        <f t="shared" si="18"/>
        <v>-0.17131506849315062</v>
      </c>
      <c r="J44" s="39">
        <v>592.9</v>
      </c>
      <c r="K44" s="1">
        <f>0.0027*J44</f>
        <v>1.60083</v>
      </c>
      <c r="L44" s="4">
        <f t="shared" si="12"/>
        <v>-0.18780821917808221</v>
      </c>
      <c r="M44" s="47">
        <v>560.92999999999995</v>
      </c>
      <c r="N44" s="3">
        <f>0.0028*M44</f>
        <v>1.5706039999999999</v>
      </c>
      <c r="O44" s="13">
        <f t="shared" ref="O44:O58" si="19">(M44-$D44)/$D44</f>
        <v>-0.23160273972602746</v>
      </c>
    </row>
    <row r="45" spans="2:15" x14ac:dyDescent="0.2">
      <c r="B45" s="54"/>
      <c r="C45" s="23">
        <v>28.3</v>
      </c>
      <c r="D45" s="35">
        <v>1690</v>
      </c>
      <c r="E45" s="24">
        <v>254</v>
      </c>
      <c r="F45" s="25">
        <v>1360</v>
      </c>
      <c r="G45" s="40">
        <v>1331.58</v>
      </c>
      <c r="H45" s="3">
        <f>0.0019*G45</f>
        <v>2.5300019999999996</v>
      </c>
      <c r="I45" s="72">
        <f t="shared" si="18"/>
        <v>-0.21208284023668644</v>
      </c>
      <c r="J45" s="40">
        <v>1302.67</v>
      </c>
      <c r="K45" s="3">
        <f>0.0019*J45</f>
        <v>2.4750730000000001</v>
      </c>
      <c r="L45" s="4">
        <f t="shared" si="12"/>
        <v>-0.229189349112426</v>
      </c>
      <c r="M45" s="47">
        <v>1286.2</v>
      </c>
      <c r="N45" s="3">
        <f>0.0019*M45</f>
        <v>2.4437800000000003</v>
      </c>
      <c r="O45" s="14">
        <f t="shared" si="19"/>
        <v>-0.23893491124260352</v>
      </c>
    </row>
    <row r="46" spans="2:15" ht="16" thickBot="1" x14ac:dyDescent="0.25">
      <c r="B46" s="55"/>
      <c r="C46" s="26">
        <v>34.5</v>
      </c>
      <c r="D46" s="36">
        <v>2120</v>
      </c>
      <c r="E46" s="27">
        <v>318</v>
      </c>
      <c r="F46" s="28">
        <v>1605</v>
      </c>
      <c r="G46" s="41">
        <v>1579.68</v>
      </c>
      <c r="H46" s="5">
        <f>0.0017*G46</f>
        <v>2.6854559999999998</v>
      </c>
      <c r="I46" s="73">
        <f t="shared" si="18"/>
        <v>-0.25486792452830187</v>
      </c>
      <c r="J46" s="41">
        <v>1544.42</v>
      </c>
      <c r="K46" s="5">
        <f>0.0018*J46</f>
        <v>2.7799559999999999</v>
      </c>
      <c r="L46" s="6">
        <f t="shared" si="12"/>
        <v>-0.27149999999999996</v>
      </c>
      <c r="M46" s="48">
        <v>1558.7</v>
      </c>
      <c r="N46" s="5">
        <f>0.0018*M46</f>
        <v>2.80566</v>
      </c>
      <c r="O46" s="15">
        <f>(M46-$D46)/$D46</f>
        <v>-0.26476415094339623</v>
      </c>
    </row>
    <row r="47" spans="2:15" x14ac:dyDescent="0.2">
      <c r="B47" s="53" t="s">
        <v>10</v>
      </c>
      <c r="C47" s="23">
        <v>18.7</v>
      </c>
      <c r="D47" s="35">
        <v>1320</v>
      </c>
      <c r="E47" s="24">
        <v>198</v>
      </c>
      <c r="F47" s="25">
        <v>1131</v>
      </c>
      <c r="G47" s="40">
        <v>1090.69</v>
      </c>
      <c r="H47" s="3">
        <f>0.0022*G47</f>
        <v>2.3995180000000005</v>
      </c>
      <c r="I47" s="71">
        <f t="shared" si="18"/>
        <v>-0.17371969696969694</v>
      </c>
      <c r="J47" s="39">
        <v>1069.3</v>
      </c>
      <c r="K47" s="1">
        <f>0.0022*J47</f>
        <v>2.3524600000000002</v>
      </c>
      <c r="L47" s="4">
        <f t="shared" si="12"/>
        <v>-0.18992424242424247</v>
      </c>
      <c r="M47" s="47">
        <v>1010.86</v>
      </c>
      <c r="N47" s="3">
        <f>0.0023*M47</f>
        <v>2.3249780000000002</v>
      </c>
      <c r="O47" s="13">
        <f t="shared" si="19"/>
        <v>-0.23419696969696968</v>
      </c>
    </row>
    <row r="48" spans="2:15" x14ac:dyDescent="0.2">
      <c r="B48" s="54"/>
      <c r="C48" s="23">
        <v>28.3</v>
      </c>
      <c r="D48" s="35">
        <v>3450</v>
      </c>
      <c r="E48" s="24">
        <v>518</v>
      </c>
      <c r="F48" s="25">
        <v>2860</v>
      </c>
      <c r="G48" s="40">
        <v>2772.57</v>
      </c>
      <c r="H48" s="3">
        <f>0.0014*G48</f>
        <v>3.8815980000000003</v>
      </c>
      <c r="I48" s="72">
        <f t="shared" si="18"/>
        <v>-0.19635652173913037</v>
      </c>
      <c r="J48" s="40">
        <v>2712.67</v>
      </c>
      <c r="K48" s="3">
        <f>0.0014*J48</f>
        <v>3.7977380000000003</v>
      </c>
      <c r="L48" s="4">
        <f t="shared" si="12"/>
        <v>-0.21371884057971013</v>
      </c>
      <c r="M48" s="47">
        <v>2666.98</v>
      </c>
      <c r="N48" s="3">
        <f>0.0015*M48</f>
        <v>4.00047</v>
      </c>
      <c r="O48" s="14">
        <f t="shared" si="19"/>
        <v>-0.22696231884057971</v>
      </c>
    </row>
    <row r="49" spans="2:15" ht="16" thickBot="1" x14ac:dyDescent="0.25">
      <c r="B49" s="55"/>
      <c r="C49" s="26">
        <v>34.5</v>
      </c>
      <c r="D49" s="36">
        <v>4720</v>
      </c>
      <c r="E49" s="27">
        <v>708</v>
      </c>
      <c r="F49" s="28">
        <v>3705</v>
      </c>
      <c r="G49" s="41">
        <v>3599.16</v>
      </c>
      <c r="H49" s="5">
        <f>0.0013*G49</f>
        <v>4.6789079999999998</v>
      </c>
      <c r="I49" s="73">
        <f t="shared" si="18"/>
        <v>-0.23746610169491528</v>
      </c>
      <c r="J49" s="41">
        <v>3518.61</v>
      </c>
      <c r="K49" s="5">
        <f>0.0013*J49</f>
        <v>4.5741930000000002</v>
      </c>
      <c r="L49" s="6">
        <f t="shared" si="12"/>
        <v>-0.25453177966101692</v>
      </c>
      <c r="M49" s="48">
        <v>3524.24</v>
      </c>
      <c r="N49" s="5">
        <f>0.0013*M49</f>
        <v>4.5815119999999991</v>
      </c>
      <c r="O49" s="15">
        <f t="shared" si="19"/>
        <v>-0.25333898305084751</v>
      </c>
    </row>
    <row r="50" spans="2:15" x14ac:dyDescent="0.2">
      <c r="B50" s="53" t="s">
        <v>11</v>
      </c>
      <c r="C50" s="23">
        <v>18.7</v>
      </c>
      <c r="D50" s="35">
        <v>1770</v>
      </c>
      <c r="E50" s="24">
        <v>266</v>
      </c>
      <c r="F50" s="25">
        <v>1487</v>
      </c>
      <c r="G50" s="40">
        <v>1440.83</v>
      </c>
      <c r="H50" s="3">
        <f>0.0022*G50</f>
        <v>3.169826</v>
      </c>
      <c r="I50" s="71">
        <f t="shared" si="18"/>
        <v>-0.18597175141242941</v>
      </c>
      <c r="J50" s="40">
        <v>1412.32</v>
      </c>
      <c r="K50" s="3">
        <f>0.0022*J50</f>
        <v>3.1071040000000001</v>
      </c>
      <c r="L50" s="4">
        <f t="shared" si="12"/>
        <v>-0.20207909604519778</v>
      </c>
      <c r="M50" s="47">
        <v>1335.27</v>
      </c>
      <c r="N50" s="3">
        <f>0.0023*M50</f>
        <v>3.0711209999999998</v>
      </c>
      <c r="O50" s="13">
        <f t="shared" si="19"/>
        <v>-0.24561016949152542</v>
      </c>
    </row>
    <row r="51" spans="2:15" x14ac:dyDescent="0.2">
      <c r="B51" s="54"/>
      <c r="C51" s="23">
        <v>28.3</v>
      </c>
      <c r="D51" s="35">
        <v>4690</v>
      </c>
      <c r="E51" s="24">
        <v>704</v>
      </c>
      <c r="F51" s="25">
        <v>3906</v>
      </c>
      <c r="G51" s="40">
        <v>3800.77</v>
      </c>
      <c r="H51" s="3">
        <f>0.0014*G51</f>
        <v>5.321078</v>
      </c>
      <c r="I51" s="72">
        <f t="shared" si="18"/>
        <v>-0.18960127931769724</v>
      </c>
      <c r="J51" s="40">
        <v>3719.29</v>
      </c>
      <c r="K51" s="3">
        <f>0.0014*J51</f>
        <v>5.2070059999999998</v>
      </c>
      <c r="L51" s="4">
        <f t="shared" si="12"/>
        <v>-0.20697441364605546</v>
      </c>
      <c r="M51" s="47">
        <v>3652.77</v>
      </c>
      <c r="N51" s="3">
        <f>0.0015*M51</f>
        <v>5.4791550000000004</v>
      </c>
      <c r="O51" s="14">
        <f t="shared" si="19"/>
        <v>-0.22115778251599147</v>
      </c>
    </row>
    <row r="52" spans="2:15" ht="16" thickBot="1" x14ac:dyDescent="0.25">
      <c r="B52" s="55"/>
      <c r="C52" s="26">
        <v>34.5</v>
      </c>
      <c r="D52" s="36">
        <v>6460</v>
      </c>
      <c r="E52" s="27">
        <v>969</v>
      </c>
      <c r="F52" s="28">
        <v>5203</v>
      </c>
      <c r="G52" s="41">
        <v>5073.8100000000004</v>
      </c>
      <c r="H52" s="5">
        <f>0.0012*G52</f>
        <v>6.0885720000000001</v>
      </c>
      <c r="I52" s="73">
        <f t="shared" si="18"/>
        <v>-0.2145804953560371</v>
      </c>
      <c r="J52" s="41">
        <v>4961.88</v>
      </c>
      <c r="K52" s="5">
        <f>0.0012*J52</f>
        <v>5.954256</v>
      </c>
      <c r="L52" s="6">
        <f t="shared" si="12"/>
        <v>-0.23190712074303405</v>
      </c>
      <c r="M52" s="48">
        <v>4957.58</v>
      </c>
      <c r="N52" s="5">
        <f>0.0013*M52</f>
        <v>6.4448539999999994</v>
      </c>
      <c r="O52" s="15">
        <f t="shared" si="19"/>
        <v>-0.23257275541795666</v>
      </c>
    </row>
    <row r="53" spans="2:15" x14ac:dyDescent="0.2">
      <c r="B53" s="53" t="s">
        <v>12</v>
      </c>
      <c r="C53" s="23">
        <v>18.7</v>
      </c>
      <c r="D53" s="35">
        <v>2100</v>
      </c>
      <c r="E53" s="24">
        <v>317</v>
      </c>
      <c r="F53" s="25">
        <v>1729</v>
      </c>
      <c r="G53" s="40">
        <v>1671.53</v>
      </c>
      <c r="H53" s="3">
        <f>0.0022*G53</f>
        <v>3.6773660000000001</v>
      </c>
      <c r="I53" s="71">
        <f t="shared" si="18"/>
        <v>-0.20403333333333334</v>
      </c>
      <c r="J53" s="40">
        <v>1638.3</v>
      </c>
      <c r="K53" s="3">
        <f>0.0022*J53</f>
        <v>3.60426</v>
      </c>
      <c r="L53" s="4">
        <f t="shared" si="12"/>
        <v>-0.21985714285714289</v>
      </c>
      <c r="M53" s="47">
        <v>1548.96</v>
      </c>
      <c r="N53" s="3">
        <f>0.0023*M53</f>
        <v>3.562608</v>
      </c>
      <c r="O53" s="13">
        <f t="shared" si="19"/>
        <v>-0.26239999999999997</v>
      </c>
    </row>
    <row r="54" spans="2:15" x14ac:dyDescent="0.2">
      <c r="B54" s="54"/>
      <c r="C54" s="23">
        <v>28.3</v>
      </c>
      <c r="D54" s="35">
        <v>5370</v>
      </c>
      <c r="E54" s="24">
        <v>806</v>
      </c>
      <c r="F54" s="25">
        <v>4613</v>
      </c>
      <c r="G54" s="40">
        <v>4476.3100000000004</v>
      </c>
      <c r="H54" s="3">
        <f>0.0014*G54</f>
        <v>6.2668340000000002</v>
      </c>
      <c r="I54" s="72">
        <f t="shared" si="18"/>
        <v>-0.16642271880819359</v>
      </c>
      <c r="J54" s="40">
        <v>4380.12</v>
      </c>
      <c r="K54" s="3">
        <f>0.0014*J54</f>
        <v>6.1321680000000001</v>
      </c>
      <c r="L54" s="4">
        <f t="shared" si="12"/>
        <v>-0.18433519553072628</v>
      </c>
      <c r="M54" s="47">
        <v>4299.62</v>
      </c>
      <c r="N54" s="3">
        <f>0.0014*M54</f>
        <v>6.0194679999999998</v>
      </c>
      <c r="O54" s="14">
        <f t="shared" si="19"/>
        <v>-0.19932588454376166</v>
      </c>
    </row>
    <row r="55" spans="2:15" ht="16" thickBot="1" x14ac:dyDescent="0.25">
      <c r="B55" s="55"/>
      <c r="C55" s="26">
        <v>34.5</v>
      </c>
      <c r="D55" s="36">
        <v>7770</v>
      </c>
      <c r="E55" s="27">
        <v>1166</v>
      </c>
      <c r="F55" s="28">
        <v>6220</v>
      </c>
      <c r="G55" s="41">
        <v>6046.02</v>
      </c>
      <c r="H55" s="5">
        <f>0.0012*G55</f>
        <v>7.2552240000000001</v>
      </c>
      <c r="I55" s="73">
        <f t="shared" si="18"/>
        <v>-0.22187644787644781</v>
      </c>
      <c r="J55" s="41">
        <v>5912.67</v>
      </c>
      <c r="K55" s="5">
        <f>0.0012*J55</f>
        <v>7.0952039999999998</v>
      </c>
      <c r="L55" s="6">
        <f t="shared" si="12"/>
        <v>-0.23903861003861002</v>
      </c>
      <c r="M55" s="48">
        <v>5901.01</v>
      </c>
      <c r="N55" s="5">
        <f>0.0013*M55</f>
        <v>7.6713129999999996</v>
      </c>
      <c r="O55" s="15">
        <f t="shared" si="19"/>
        <v>-0.24053925353925351</v>
      </c>
    </row>
    <row r="56" spans="2:15" x14ac:dyDescent="0.2">
      <c r="B56" s="53" t="s">
        <v>13</v>
      </c>
      <c r="C56" s="23">
        <v>18.7</v>
      </c>
      <c r="D56" s="35">
        <v>2500</v>
      </c>
      <c r="E56" s="24">
        <v>375</v>
      </c>
      <c r="F56" s="25">
        <v>2021</v>
      </c>
      <c r="G56" s="40">
        <v>1956.86</v>
      </c>
      <c r="H56" s="3">
        <f>0.0022*G56</f>
        <v>4.3050920000000001</v>
      </c>
      <c r="I56" s="71">
        <f t="shared" si="18"/>
        <v>-0.21725600000000003</v>
      </c>
      <c r="J56" s="40">
        <v>1917.79</v>
      </c>
      <c r="K56" s="3">
        <f>0.0022*J56</f>
        <v>4.2191380000000001</v>
      </c>
      <c r="L56" s="4">
        <f t="shared" si="12"/>
        <v>-0.23288400000000001</v>
      </c>
      <c r="M56" s="47">
        <v>1813.15</v>
      </c>
      <c r="N56" s="3">
        <f>0.0023*M56</f>
        <v>4.1702450000000004</v>
      </c>
      <c r="O56" s="13">
        <f t="shared" si="19"/>
        <v>-0.27473999999999998</v>
      </c>
    </row>
    <row r="57" spans="2:15" x14ac:dyDescent="0.2">
      <c r="B57" s="54"/>
      <c r="C57" s="23">
        <v>28.3</v>
      </c>
      <c r="D57" s="35">
        <v>6670</v>
      </c>
      <c r="E57" s="24">
        <v>1000</v>
      </c>
      <c r="F57" s="25">
        <v>5465</v>
      </c>
      <c r="G57" s="40">
        <v>5308.56</v>
      </c>
      <c r="H57" s="3">
        <f>0.0014*G57</f>
        <v>7.4319840000000008</v>
      </c>
      <c r="I57" s="72">
        <f t="shared" si="18"/>
        <v>-0.20411394302848571</v>
      </c>
      <c r="J57" s="40">
        <v>5195.1000000000004</v>
      </c>
      <c r="K57" s="3">
        <f>0.0014*J57</f>
        <v>7.2731400000000006</v>
      </c>
      <c r="L57" s="4">
        <f t="shared" si="12"/>
        <v>-0.22112443778110938</v>
      </c>
      <c r="M57" s="47">
        <v>5095.6899999999996</v>
      </c>
      <c r="N57" s="3">
        <f>0.0014*M57</f>
        <v>7.1339659999999991</v>
      </c>
      <c r="O57" s="14">
        <f t="shared" si="19"/>
        <v>-0.23602848575712149</v>
      </c>
    </row>
    <row r="58" spans="2:15" ht="16" thickBot="1" x14ac:dyDescent="0.25">
      <c r="B58" s="55"/>
      <c r="C58" s="26">
        <v>34.5</v>
      </c>
      <c r="D58" s="36">
        <v>9000</v>
      </c>
      <c r="E58" s="27">
        <v>1350</v>
      </c>
      <c r="F58" s="28">
        <v>7453</v>
      </c>
      <c r="G58" s="41">
        <v>7252.95</v>
      </c>
      <c r="H58" s="5">
        <f>0.0012*G58</f>
        <v>8.7035399999999985</v>
      </c>
      <c r="I58" s="73">
        <f t="shared" si="18"/>
        <v>-0.19411666666666669</v>
      </c>
      <c r="J58" s="41">
        <v>7093.56</v>
      </c>
      <c r="K58" s="5">
        <f>0.0012*J58</f>
        <v>8.5122719999999994</v>
      </c>
      <c r="L58" s="6">
        <f t="shared" si="12"/>
        <v>-0.21182666666666664</v>
      </c>
      <c r="M58" s="48">
        <v>7069.13</v>
      </c>
      <c r="N58" s="5">
        <f>0.0012*M58</f>
        <v>8.4829559999999997</v>
      </c>
      <c r="O58" s="15">
        <f t="shared" si="19"/>
        <v>-0.2145411111111111</v>
      </c>
    </row>
    <row r="59" spans="2:15" x14ac:dyDescent="0.2">
      <c r="B59" s="53" t="s">
        <v>14</v>
      </c>
      <c r="C59" s="23">
        <v>16.399999999999999</v>
      </c>
      <c r="D59" s="35">
        <v>1070</v>
      </c>
      <c r="E59" s="24">
        <v>161</v>
      </c>
      <c r="F59" s="25">
        <v>1043</v>
      </c>
      <c r="G59" s="49">
        <v>1006.66</v>
      </c>
      <c r="H59" s="11">
        <f>0.0026*G59</f>
        <v>2.6173159999999998</v>
      </c>
      <c r="I59" s="2">
        <f t="shared" si="18"/>
        <v>-5.9196261682243019E-2</v>
      </c>
      <c r="J59" s="40">
        <v>1128.07</v>
      </c>
      <c r="K59" s="3">
        <f>0.0025*J59</f>
        <v>2.8201749999999999</v>
      </c>
      <c r="L59" s="72">
        <f t="shared" si="12"/>
        <v>5.4271028037383116E-2</v>
      </c>
      <c r="M59" s="47">
        <v>476.92</v>
      </c>
      <c r="N59" s="3">
        <f>0.0033*M59</f>
        <v>1.573836</v>
      </c>
      <c r="O59" s="13">
        <f t="shared" ref="O59:O71" si="20">(M59-$D59)/$D59</f>
        <v>-0.55428037383177564</v>
      </c>
    </row>
    <row r="60" spans="2:15" x14ac:dyDescent="0.2">
      <c r="B60" s="54"/>
      <c r="C60" s="23">
        <v>21.1</v>
      </c>
      <c r="D60" s="35">
        <v>2330</v>
      </c>
      <c r="E60" s="24">
        <v>350</v>
      </c>
      <c r="F60" s="25">
        <v>2143</v>
      </c>
      <c r="G60" s="42">
        <v>2076.0100000000002</v>
      </c>
      <c r="H60" s="11">
        <f>0.0019*G60</f>
        <v>3.9444190000000003</v>
      </c>
      <c r="I60" s="4">
        <f t="shared" ref="I60:I61" si="21">(G60-$D60)/$D60</f>
        <v>-0.10900858369098704</v>
      </c>
      <c r="J60" s="40">
        <v>2265.79</v>
      </c>
      <c r="K60" s="3">
        <f>0.0018*J60</f>
        <v>4.0784219999999998</v>
      </c>
      <c r="L60" s="72">
        <f t="shared" si="12"/>
        <v>-2.7557939914163106E-2</v>
      </c>
      <c r="M60" s="47">
        <v>1007.79</v>
      </c>
      <c r="N60" s="3">
        <f>0.0024*M60</f>
        <v>2.4186959999999997</v>
      </c>
      <c r="O60" s="14">
        <f t="shared" si="20"/>
        <v>-0.56747210300429185</v>
      </c>
    </row>
    <row r="61" spans="2:15" x14ac:dyDescent="0.2">
      <c r="B61" s="54"/>
      <c r="C61" s="23">
        <v>28.4</v>
      </c>
      <c r="D61" s="35">
        <v>3860</v>
      </c>
      <c r="E61" s="24">
        <v>579</v>
      </c>
      <c r="F61" s="25">
        <v>3272</v>
      </c>
      <c r="G61" s="42">
        <v>3250.04</v>
      </c>
      <c r="H61" s="11">
        <f>0.0015*G61</f>
        <v>4.8750600000000004</v>
      </c>
      <c r="I61" s="4">
        <f t="shared" si="21"/>
        <v>-0.15802072538860104</v>
      </c>
      <c r="J61" s="40">
        <v>3515.78</v>
      </c>
      <c r="K61" s="3">
        <f>0.0014*J61</f>
        <v>4.9220920000000001</v>
      </c>
      <c r="L61" s="72">
        <f t="shared" si="12"/>
        <v>-8.9176165803108762E-2</v>
      </c>
      <c r="M61" s="47">
        <v>1578.11</v>
      </c>
      <c r="N61" s="3">
        <f>0.0019*M61</f>
        <v>2.9984089999999997</v>
      </c>
      <c r="O61" s="14">
        <f t="shared" si="20"/>
        <v>-0.59116321243523329</v>
      </c>
    </row>
    <row r="62" spans="2:15" ht="16" thickBot="1" x14ac:dyDescent="0.25">
      <c r="B62" s="55"/>
      <c r="C62" s="26">
        <v>35.5</v>
      </c>
      <c r="D62" s="36">
        <v>4880</v>
      </c>
      <c r="E62" s="27">
        <v>732</v>
      </c>
      <c r="F62" s="28">
        <v>3904</v>
      </c>
      <c r="G62" s="43">
        <v>3973.63</v>
      </c>
      <c r="H62" s="12">
        <f>0.0014*G62</f>
        <v>5.5630820000000005</v>
      </c>
      <c r="I62" s="6">
        <f>(G62-$D62)/$D62</f>
        <v>-0.18573155737704916</v>
      </c>
      <c r="J62" s="41">
        <v>4262.3500000000004</v>
      </c>
      <c r="K62" s="5">
        <f>0.0013*J62</f>
        <v>5.5410550000000001</v>
      </c>
      <c r="L62" s="73">
        <f t="shared" si="12"/>
        <v>-0.12656762295081961</v>
      </c>
      <c r="M62" s="48">
        <v>1938.66</v>
      </c>
      <c r="N62" s="5">
        <f>0.0017*M62</f>
        <v>3.295722</v>
      </c>
      <c r="O62" s="15">
        <f t="shared" si="20"/>
        <v>-0.60273360655737707</v>
      </c>
    </row>
    <row r="63" spans="2:15" x14ac:dyDescent="0.2">
      <c r="B63" s="53" t="s">
        <v>15</v>
      </c>
      <c r="C63" s="23">
        <v>16.399999999999999</v>
      </c>
      <c r="D63" s="35">
        <v>1950</v>
      </c>
      <c r="E63" s="24">
        <v>293</v>
      </c>
      <c r="F63" s="25">
        <v>1844</v>
      </c>
      <c r="G63" s="42">
        <v>1779.65</v>
      </c>
      <c r="H63" s="11">
        <f>0.0025*G63</f>
        <v>4.4491250000000004</v>
      </c>
      <c r="I63" s="2">
        <f>(G63-$D63)/$D63</f>
        <v>-8.7358974358974315E-2</v>
      </c>
      <c r="J63" s="40">
        <v>1991.08</v>
      </c>
      <c r="K63" s="3">
        <f>0.0023*J63</f>
        <v>4.5794839999999999</v>
      </c>
      <c r="L63" s="72">
        <f t="shared" si="12"/>
        <v>2.1066666666666629E-2</v>
      </c>
      <c r="M63" s="47">
        <v>839.73</v>
      </c>
      <c r="N63" s="3">
        <f>0.003*M63</f>
        <v>2.51919</v>
      </c>
      <c r="O63" s="14">
        <f t="shared" si="20"/>
        <v>-0.56936923076923074</v>
      </c>
    </row>
    <row r="64" spans="2:15" x14ac:dyDescent="0.2">
      <c r="B64" s="54"/>
      <c r="C64" s="23">
        <v>21.1</v>
      </c>
      <c r="D64" s="35">
        <v>4310</v>
      </c>
      <c r="E64" s="24">
        <v>647</v>
      </c>
      <c r="F64" s="25">
        <v>4005</v>
      </c>
      <c r="G64" s="42">
        <v>3873.17</v>
      </c>
      <c r="H64" s="11">
        <f>0.0018*G64</f>
        <v>6.9717060000000002</v>
      </c>
      <c r="I64" s="4">
        <f t="shared" ref="I64:I65" si="22">(G64-$D64)/$D64</f>
        <v>-0.10135266821345706</v>
      </c>
      <c r="J64" s="40">
        <v>4225.5200000000004</v>
      </c>
      <c r="K64" s="3">
        <f>0.0017*J64</f>
        <v>7.1833840000000002</v>
      </c>
      <c r="L64" s="72">
        <f t="shared" si="12"/>
        <v>-1.9600928074245839E-2</v>
      </c>
      <c r="M64" s="47">
        <v>1872.19</v>
      </c>
      <c r="N64" s="3">
        <f>0.0021*M64</f>
        <v>3.9315989999999998</v>
      </c>
      <c r="O64" s="14">
        <f t="shared" si="20"/>
        <v>-0.56561716937354989</v>
      </c>
    </row>
    <row r="65" spans="2:15" x14ac:dyDescent="0.2">
      <c r="B65" s="54"/>
      <c r="C65" s="23">
        <v>28.4</v>
      </c>
      <c r="D65" s="35">
        <v>7850</v>
      </c>
      <c r="E65" s="24">
        <v>1178</v>
      </c>
      <c r="F65" s="25">
        <v>6838</v>
      </c>
      <c r="G65" s="42">
        <v>6726.83</v>
      </c>
      <c r="H65" s="11">
        <f>0.0014*G65</f>
        <v>9.4175620000000002</v>
      </c>
      <c r="I65" s="4">
        <f t="shared" si="22"/>
        <v>-0.14307898089171975</v>
      </c>
      <c r="J65" s="40">
        <v>7296.31</v>
      </c>
      <c r="K65" s="3">
        <f>0.0013*J65</f>
        <v>9.4852030000000003</v>
      </c>
      <c r="L65" s="72">
        <f t="shared" si="12"/>
        <v>-7.0533757961783392E-2</v>
      </c>
      <c r="M65" s="47">
        <v>3257.39</v>
      </c>
      <c r="N65" s="3">
        <f>0.0016*M65</f>
        <v>5.211824</v>
      </c>
      <c r="O65" s="14">
        <f t="shared" si="20"/>
        <v>-0.58504585987261148</v>
      </c>
    </row>
    <row r="66" spans="2:15" ht="16" thickBot="1" x14ac:dyDescent="0.25">
      <c r="B66" s="55"/>
      <c r="C66" s="26">
        <v>35.5</v>
      </c>
      <c r="D66" s="36">
        <v>10735</v>
      </c>
      <c r="E66" s="27">
        <v>1610</v>
      </c>
      <c r="F66" s="28">
        <v>9029</v>
      </c>
      <c r="G66" s="43">
        <v>9063.43</v>
      </c>
      <c r="H66" s="12">
        <f>0.0012*G66</f>
        <v>10.876116</v>
      </c>
      <c r="I66" s="6">
        <f>(G66-$D66)/$D66</f>
        <v>-0.15571215649743825</v>
      </c>
      <c r="J66" s="41">
        <v>9756.0400000000009</v>
      </c>
      <c r="K66" s="5">
        <f>0.0011*J66</f>
        <v>10.731644000000001</v>
      </c>
      <c r="L66" s="73">
        <f t="shared" si="12"/>
        <v>-9.1193292966930517E-2</v>
      </c>
      <c r="M66" s="48">
        <v>4399.09</v>
      </c>
      <c r="N66" s="5">
        <f>0.0014*M66</f>
        <v>6.1587259999999997</v>
      </c>
      <c r="O66" s="15">
        <f t="shared" si="20"/>
        <v>-0.59021052631578941</v>
      </c>
    </row>
    <row r="67" spans="2:15" x14ac:dyDescent="0.2">
      <c r="B67" s="53" t="s">
        <v>16</v>
      </c>
      <c r="C67" s="23">
        <v>11.5</v>
      </c>
      <c r="D67" s="35">
        <v>380</v>
      </c>
      <c r="E67" s="24">
        <v>57</v>
      </c>
      <c r="F67" s="25">
        <v>347</v>
      </c>
      <c r="G67" s="42">
        <v>339.45</v>
      </c>
      <c r="H67" s="11">
        <f>0.0059*G67</f>
        <v>2.0027550000000001</v>
      </c>
      <c r="I67" s="2">
        <f>(G67-$D67)/$D67</f>
        <v>-0.10671052631578951</v>
      </c>
      <c r="J67" s="40">
        <v>415.98</v>
      </c>
      <c r="K67" s="3">
        <f>0.0052*J67</f>
        <v>2.1630959999999999</v>
      </c>
      <c r="L67" s="72">
        <f t="shared" si="12"/>
        <v>9.4684210526315843E-2</v>
      </c>
      <c r="M67" s="47">
        <v>153.86000000000001</v>
      </c>
      <c r="N67" s="3">
        <f>0.0067*M67</f>
        <v>1.0308620000000002</v>
      </c>
      <c r="O67" s="14">
        <f t="shared" si="20"/>
        <v>-0.59510526315789469</v>
      </c>
    </row>
    <row r="68" spans="2:15" x14ac:dyDescent="0.2">
      <c r="B68" s="54"/>
      <c r="C68" s="23">
        <v>16.399999999999999</v>
      </c>
      <c r="D68" s="35">
        <v>2530</v>
      </c>
      <c r="E68" s="24">
        <v>380</v>
      </c>
      <c r="F68" s="25">
        <v>2366</v>
      </c>
      <c r="G68" s="42">
        <v>2284.25</v>
      </c>
      <c r="H68" s="11">
        <f>0.0025*G68</f>
        <v>5.7106250000000003</v>
      </c>
      <c r="I68" s="4">
        <f t="shared" ref="I68:I70" si="23">(G68-$D68)/$D68</f>
        <v>-9.713438735177865E-2</v>
      </c>
      <c r="J68" s="40">
        <v>2555.4</v>
      </c>
      <c r="K68" s="3">
        <f>0.0023*J68</f>
        <v>5.8774199999999999</v>
      </c>
      <c r="L68" s="72">
        <f t="shared" si="12"/>
        <v>1.0039525691699641E-2</v>
      </c>
      <c r="M68" s="47">
        <v>1075.28</v>
      </c>
      <c r="N68" s="3">
        <f>0.003*M68</f>
        <v>3.2258399999999998</v>
      </c>
      <c r="O68" s="14">
        <f t="shared" si="20"/>
        <v>-0.57498814229249018</v>
      </c>
    </row>
    <row r="69" spans="2:15" x14ac:dyDescent="0.2">
      <c r="B69" s="54"/>
      <c r="C69" s="23">
        <v>21.1</v>
      </c>
      <c r="D69" s="35">
        <v>5900</v>
      </c>
      <c r="E69" s="24">
        <v>885</v>
      </c>
      <c r="F69" s="25">
        <v>5203</v>
      </c>
      <c r="G69" s="42">
        <v>5033.6099999999997</v>
      </c>
      <c r="H69" s="11">
        <f>0.0017*G69</f>
        <v>8.5571369999999991</v>
      </c>
      <c r="I69" s="4">
        <f t="shared" si="23"/>
        <v>-0.14684576271186447</v>
      </c>
      <c r="J69" s="40">
        <v>5490.23</v>
      </c>
      <c r="K69" s="3">
        <f>0.0016*J69</f>
        <v>8.7843679999999988</v>
      </c>
      <c r="L69" s="72">
        <f t="shared" si="12"/>
        <v>-6.9452542372881426E-2</v>
      </c>
      <c r="M69" s="47">
        <v>2424.59</v>
      </c>
      <c r="N69" s="3">
        <f>0.0021*M69</f>
        <v>5.0916389999999998</v>
      </c>
      <c r="O69" s="14">
        <f t="shared" si="20"/>
        <v>-0.58905254237288129</v>
      </c>
    </row>
    <row r="70" spans="2:15" x14ac:dyDescent="0.2">
      <c r="B70" s="54"/>
      <c r="C70" s="23">
        <v>28.4</v>
      </c>
      <c r="D70" s="35">
        <v>10460</v>
      </c>
      <c r="E70" s="24">
        <v>1569</v>
      </c>
      <c r="F70" s="25">
        <v>9130</v>
      </c>
      <c r="G70" s="42">
        <v>8974</v>
      </c>
      <c r="H70" s="11">
        <f>0.0013*G70</f>
        <v>11.6662</v>
      </c>
      <c r="I70" s="4">
        <f t="shared" si="23"/>
        <v>-0.14206500956022944</v>
      </c>
      <c r="J70" s="40">
        <v>9730.26</v>
      </c>
      <c r="K70" s="3">
        <f>0.0013*J70</f>
        <v>12.649338</v>
      </c>
      <c r="L70" s="72">
        <f t="shared" si="12"/>
        <v>-6.9764818355640509E-2</v>
      </c>
      <c r="M70" s="47">
        <v>4333.5200000000004</v>
      </c>
      <c r="N70" s="3">
        <f>0.0016*M70</f>
        <v>6.9336320000000011</v>
      </c>
      <c r="O70" s="14">
        <f t="shared" si="20"/>
        <v>-0.58570554493307836</v>
      </c>
    </row>
    <row r="71" spans="2:15" ht="16" thickBot="1" x14ac:dyDescent="0.25">
      <c r="B71" s="55"/>
      <c r="C71" s="26">
        <v>35.5</v>
      </c>
      <c r="D71" s="36">
        <v>14940</v>
      </c>
      <c r="E71" s="27">
        <v>2241</v>
      </c>
      <c r="F71" s="28">
        <v>12396</v>
      </c>
      <c r="G71" s="44">
        <v>12404.4</v>
      </c>
      <c r="H71" s="12">
        <f>0.0011*G71</f>
        <v>13.64484</v>
      </c>
      <c r="I71" s="6">
        <f>(G71-$D71)/$D71</f>
        <v>-0.16971887550200807</v>
      </c>
      <c r="J71" s="45">
        <v>13362.5</v>
      </c>
      <c r="K71" s="5">
        <f>0.0011*J71</f>
        <v>14.69875</v>
      </c>
      <c r="L71" s="73">
        <f t="shared" si="12"/>
        <v>-0.10558902275769745</v>
      </c>
      <c r="M71" s="48">
        <v>6003.54</v>
      </c>
      <c r="N71" s="5">
        <f>0.0014*M71</f>
        <v>8.4049560000000003</v>
      </c>
      <c r="O71" s="15">
        <f t="shared" si="20"/>
        <v>-0.59815662650602408</v>
      </c>
    </row>
  </sheetData>
  <mergeCells count="20">
    <mergeCell ref="B56:B58"/>
    <mergeCell ref="B59:B62"/>
    <mergeCell ref="B63:B66"/>
    <mergeCell ref="B67:B71"/>
    <mergeCell ref="B50:B52"/>
    <mergeCell ref="B53:B55"/>
    <mergeCell ref="B7:O7"/>
    <mergeCell ref="B36:B39"/>
    <mergeCell ref="B40:B43"/>
    <mergeCell ref="B44:B46"/>
    <mergeCell ref="B47:B49"/>
    <mergeCell ref="B16:B22"/>
    <mergeCell ref="B23:B27"/>
    <mergeCell ref="D8:O8"/>
    <mergeCell ref="B28:B31"/>
    <mergeCell ref="B32:B35"/>
    <mergeCell ref="B8:B9"/>
    <mergeCell ref="C8:C9"/>
    <mergeCell ref="B10:B12"/>
    <mergeCell ref="B13:B15"/>
  </mergeCells>
  <pageMargins left="0.25" right="0.25" top="0.75" bottom="0.75" header="0.3" footer="0.3"/>
  <pageSetup scale="6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Skip</dc:creator>
  <cp:lastModifiedBy>SUBLET, Jean-Christophe</cp:lastModifiedBy>
  <cp:lastPrinted>2023-06-13T12:01:50Z</cp:lastPrinted>
  <dcterms:created xsi:type="dcterms:W3CDTF">2023-05-09T22:59:15Z</dcterms:created>
  <dcterms:modified xsi:type="dcterms:W3CDTF">2023-06-14T07:33:39Z</dcterms:modified>
</cp:coreProperties>
</file>